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lcz\Desktop\"/>
    </mc:Choice>
  </mc:AlternateContent>
  <bookViews>
    <workbookView xWindow="0" yWindow="0" windowWidth="28800" windowHeight="12915"/>
  </bookViews>
  <sheets>
    <sheet name="Docházka" sheetId="5" r:id="rId1"/>
    <sheet name="Kalendář 2020" sheetId="6" r:id="rId2"/>
    <sheet name="Data" sheetId="7" state="hidden" r:id="rId3"/>
    <sheet name="Data1" sheetId="4" state="hidden" r:id="rId4"/>
  </sheets>
  <definedNames>
    <definedName name="Směny">#REF!</definedName>
    <definedName name="Směny1">#REF!</definedName>
    <definedName name="Směny2">#REF!</definedName>
    <definedName name="tříd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7" l="1"/>
  <c r="E76" i="7"/>
  <c r="E75" i="7"/>
  <c r="E74" i="7"/>
  <c r="E73" i="7"/>
  <c r="E72" i="7"/>
  <c r="F71" i="7"/>
  <c r="F70" i="7"/>
  <c r="F69" i="7"/>
  <c r="F68" i="7"/>
  <c r="F67" i="7"/>
  <c r="F55" i="7"/>
  <c r="F9" i="7"/>
  <c r="F1" i="7"/>
  <c r="I1" i="7" s="1"/>
  <c r="I9" i="7" l="1"/>
  <c r="F48" i="7"/>
  <c r="F53" i="7"/>
  <c r="F52" i="7"/>
  <c r="F40" i="7"/>
  <c r="F37" i="7"/>
  <c r="F34" i="7"/>
  <c r="F39" i="7"/>
  <c r="F36" i="7"/>
  <c r="F33" i="7"/>
  <c r="F38" i="7"/>
  <c r="F35" i="7"/>
  <c r="F32" i="7"/>
  <c r="F31" i="7"/>
  <c r="F28" i="7"/>
  <c r="F30" i="7"/>
  <c r="F27" i="7"/>
  <c r="F24" i="7"/>
  <c r="F29" i="7"/>
  <c r="F26" i="7"/>
  <c r="F23" i="7"/>
  <c r="F20" i="7"/>
  <c r="F21" i="7"/>
  <c r="F18" i="7"/>
  <c r="F22" i="7"/>
  <c r="F19" i="7"/>
  <c r="F16" i="7"/>
  <c r="F15" i="7"/>
  <c r="F17" i="7"/>
  <c r="F14" i="7"/>
  <c r="F8" i="7"/>
  <c r="F6" i="7"/>
  <c r="F5" i="7"/>
  <c r="F13" i="7"/>
  <c r="F12" i="7"/>
  <c r="F11" i="7"/>
  <c r="F41" i="7"/>
  <c r="F10" i="7"/>
  <c r="F7" i="7"/>
  <c r="F4" i="7"/>
  <c r="F3" i="7"/>
  <c r="F2" i="7"/>
  <c r="C11" i="5"/>
  <c r="F51" i="7"/>
  <c r="F50" i="7"/>
  <c r="H50" i="7" s="1"/>
  <c r="F25" i="7"/>
  <c r="C10" i="5" l="1"/>
  <c r="C18" i="5"/>
  <c r="I10" i="7"/>
  <c r="I31" i="7"/>
  <c r="C22" i="5"/>
  <c r="I41" i="7"/>
  <c r="I17" i="7"/>
  <c r="I22" i="7"/>
  <c r="I23" i="7"/>
  <c r="I32" i="7"/>
  <c r="I40" i="7"/>
  <c r="C12" i="5"/>
  <c r="I14" i="7"/>
  <c r="I19" i="7"/>
  <c r="I20" i="7"/>
  <c r="I37" i="7"/>
  <c r="C13" i="5"/>
  <c r="I3" i="7"/>
  <c r="I2" i="7" s="1"/>
  <c r="I4" i="7"/>
  <c r="C19" i="5"/>
  <c r="I11" i="7"/>
  <c r="I6" i="7"/>
  <c r="I26" i="7"/>
  <c r="I35" i="7"/>
  <c r="I36" i="7" s="1"/>
  <c r="I25" i="7"/>
  <c r="I13" i="7"/>
  <c r="I7" i="7"/>
  <c r="I8" i="7" s="1"/>
  <c r="I12" i="7"/>
  <c r="I16" i="7"/>
  <c r="I29" i="7"/>
  <c r="I28" i="7"/>
  <c r="I38" i="7"/>
  <c r="I34" i="7"/>
  <c r="F49" i="7"/>
  <c r="F54" i="7"/>
  <c r="J52" i="7" s="1"/>
  <c r="C16" i="5"/>
  <c r="C17" i="5"/>
  <c r="C15" i="5"/>
  <c r="C21" i="5"/>
  <c r="C20" i="5"/>
  <c r="C14" i="5"/>
  <c r="C6" i="5"/>
  <c r="C8" i="5" s="1"/>
  <c r="D18" i="4"/>
  <c r="C18" i="4"/>
  <c r="I30" i="7" l="1"/>
  <c r="I5" i="7"/>
  <c r="I18" i="7"/>
  <c r="H52" i="7"/>
  <c r="G8" i="7" s="1"/>
  <c r="H8" i="7" s="1"/>
  <c r="F57" i="7"/>
  <c r="G51" i="7" s="1"/>
  <c r="I27" i="7"/>
  <c r="I21" i="7"/>
  <c r="I39" i="7"/>
  <c r="H53" i="7"/>
  <c r="J53" i="7" s="1"/>
  <c r="I15" i="7"/>
  <c r="I24" i="7"/>
  <c r="I33" i="7"/>
  <c r="G27" i="7"/>
  <c r="H27" i="7" s="1"/>
  <c r="C4" i="5"/>
  <c r="D10" i="5" s="1"/>
  <c r="C7" i="5"/>
  <c r="D14" i="4"/>
  <c r="H9" i="4"/>
  <c r="G9" i="4"/>
  <c r="F2" i="4"/>
  <c r="F3" i="4"/>
  <c r="F4" i="4"/>
  <c r="F5" i="4"/>
  <c r="F6" i="4"/>
  <c r="F7" i="4"/>
  <c r="F8" i="4"/>
  <c r="F9" i="4"/>
  <c r="F10" i="4"/>
  <c r="F11" i="4"/>
  <c r="F12" i="4"/>
  <c r="F1" i="4"/>
  <c r="B18" i="4"/>
  <c r="G26" i="7" l="1"/>
  <c r="H26" i="7" s="1"/>
  <c r="H18" i="5"/>
  <c r="H11" i="5"/>
  <c r="J27" i="7"/>
  <c r="K27" i="7" s="1"/>
  <c r="J2" i="7"/>
  <c r="K2" i="7" s="1"/>
  <c r="J30" i="7"/>
  <c r="K30" i="7" s="1"/>
  <c r="J5" i="7"/>
  <c r="K5" i="7" s="1"/>
  <c r="J24" i="7"/>
  <c r="K24" i="7" s="1"/>
  <c r="J8" i="7"/>
  <c r="K8" i="7" s="1"/>
  <c r="J3" i="7"/>
  <c r="K3" i="7" s="1"/>
  <c r="J6" i="7"/>
  <c r="K6" i="7" s="1"/>
  <c r="J25" i="7"/>
  <c r="K25" i="7" s="1"/>
  <c r="J9" i="7"/>
  <c r="K9" i="7" s="1"/>
  <c r="J26" i="7"/>
  <c r="K26" i="7" s="1"/>
  <c r="J28" i="7"/>
  <c r="K28" i="7" s="1"/>
  <c r="J29" i="7"/>
  <c r="K29" i="7" s="1"/>
  <c r="J7" i="7"/>
  <c r="K7" i="7" s="1"/>
  <c r="J31" i="7"/>
  <c r="K31" i="7" s="1"/>
  <c r="J23" i="7"/>
  <c r="K23" i="7" s="1"/>
  <c r="J4" i="7"/>
  <c r="K4" i="7" s="1"/>
  <c r="J1" i="7"/>
  <c r="K1" i="7" s="1"/>
  <c r="G2" i="7"/>
  <c r="H2" i="7" s="1"/>
  <c r="G3" i="7"/>
  <c r="H3" i="7" s="1"/>
  <c r="G7" i="7"/>
  <c r="H7" i="7" s="1"/>
  <c r="G6" i="7"/>
  <c r="H6" i="7" s="1"/>
  <c r="G31" i="7"/>
  <c r="H31" i="7" s="1"/>
  <c r="G29" i="7"/>
  <c r="H29" i="7" s="1"/>
  <c r="G25" i="7"/>
  <c r="H25" i="7" s="1"/>
  <c r="G9" i="7"/>
  <c r="H9" i="7" s="1"/>
  <c r="G5" i="7"/>
  <c r="H5" i="7" s="1"/>
  <c r="G1" i="7"/>
  <c r="H1" i="7" s="1"/>
  <c r="G30" i="7"/>
  <c r="H30" i="7" s="1"/>
  <c r="G24" i="7"/>
  <c r="H24" i="7" s="1"/>
  <c r="G23" i="7"/>
  <c r="H23" i="7" s="1"/>
  <c r="G4" i="7"/>
  <c r="H4" i="7" s="1"/>
  <c r="G28" i="7"/>
  <c r="H28" i="7" s="1"/>
  <c r="E18" i="4"/>
  <c r="I13" i="5" l="1"/>
  <c r="G34" i="7"/>
  <c r="H34" i="7" s="1"/>
  <c r="G16" i="7"/>
  <c r="H16" i="7" s="1"/>
  <c r="G21" i="7"/>
  <c r="H21" i="7" s="1"/>
  <c r="J18" i="7"/>
  <c r="K18" i="7" s="1"/>
  <c r="J21" i="7"/>
  <c r="K21" i="7" s="1"/>
  <c r="J32" i="7"/>
  <c r="K32" i="7" s="1"/>
  <c r="G40" i="7"/>
  <c r="H40" i="7" s="1"/>
  <c r="J35" i="7"/>
  <c r="K35" i="7" s="1"/>
  <c r="J13" i="7"/>
  <c r="K13" i="7" s="1"/>
  <c r="J14" i="7"/>
  <c r="K14" i="7" s="1"/>
  <c r="G17" i="7"/>
  <c r="H17" i="7" s="1"/>
  <c r="J34" i="7"/>
  <c r="K34" i="7" s="1"/>
  <c r="G38" i="7"/>
  <c r="H38" i="7" s="1"/>
  <c r="G15" i="7"/>
  <c r="H15" i="7" s="1"/>
  <c r="J33" i="7"/>
  <c r="K33" i="7" s="1"/>
  <c r="J11" i="7"/>
  <c r="K11" i="7" s="1"/>
  <c r="J15" i="7"/>
  <c r="K15" i="7" s="1"/>
  <c r="J38" i="7"/>
  <c r="K38" i="7" s="1"/>
  <c r="G20" i="7"/>
  <c r="H20" i="7" s="1"/>
  <c r="J40" i="7"/>
  <c r="K40" i="7" s="1"/>
  <c r="J16" i="7"/>
  <c r="K16" i="7" s="1"/>
  <c r="J22" i="7"/>
  <c r="K22" i="7" s="1"/>
  <c r="G19" i="7"/>
  <c r="H19" i="7" s="1"/>
  <c r="G18" i="7"/>
  <c r="H18" i="7" s="1"/>
  <c r="J20" i="7"/>
  <c r="K20" i="7" s="1"/>
  <c r="J37" i="7"/>
  <c r="K37" i="7" s="1"/>
  <c r="J39" i="7"/>
  <c r="K39" i="7" s="1"/>
  <c r="J36" i="7"/>
  <c r="K36" i="7" s="1"/>
  <c r="G10" i="7"/>
  <c r="H10" i="7" s="1"/>
  <c r="G32" i="7"/>
  <c r="H32" i="7" s="1"/>
  <c r="G11" i="7"/>
  <c r="H11" i="7" s="1"/>
  <c r="J12" i="7"/>
  <c r="K12" i="7" s="1"/>
  <c r="J17" i="7"/>
  <c r="K17" i="7" s="1"/>
  <c r="J19" i="7"/>
  <c r="K19" i="7" s="1"/>
  <c r="G39" i="7"/>
  <c r="H39" i="7" s="1"/>
  <c r="G37" i="7"/>
  <c r="H37" i="7" s="1"/>
  <c r="G35" i="7"/>
  <c r="H35" i="7" s="1"/>
  <c r="G13" i="7"/>
  <c r="H13" i="7" s="1"/>
  <c r="G36" i="7"/>
  <c r="H36" i="7" s="1"/>
  <c r="G33" i="7"/>
  <c r="H33" i="7"/>
  <c r="G22" i="7"/>
  <c r="H22" i="7" s="1"/>
  <c r="G14" i="7"/>
  <c r="H14" i="7" s="1"/>
  <c r="J10" i="7"/>
  <c r="K10" i="7" s="1"/>
  <c r="G12" i="7"/>
  <c r="H12" i="7" s="1"/>
  <c r="K41" i="7" l="1"/>
  <c r="H41" i="7"/>
  <c r="F56" i="7" l="1"/>
  <c r="F60" i="7" s="1"/>
  <c r="F62" i="7" l="1"/>
  <c r="F61" i="7"/>
  <c r="F58" i="7" s="1"/>
  <c r="F64" i="7" s="1"/>
  <c r="F59" i="7" s="1"/>
  <c r="H20" i="5" s="1"/>
  <c r="H19" i="5"/>
  <c r="F63" i="7"/>
</calcChain>
</file>

<file path=xl/sharedStrings.xml><?xml version="1.0" encoding="utf-8"?>
<sst xmlns="http://schemas.openxmlformats.org/spreadsheetml/2006/main" count="427" uniqueCount="210">
  <si>
    <t>Dny</t>
  </si>
  <si>
    <t>Ranní</t>
  </si>
  <si>
    <t>Odpolední</t>
  </si>
  <si>
    <t>Noční</t>
  </si>
  <si>
    <t>Přesčas Ranní</t>
  </si>
  <si>
    <t>Přesčas Odpolední</t>
  </si>
  <si>
    <t>Přesčas Noční</t>
  </si>
  <si>
    <t>Svátek</t>
  </si>
  <si>
    <t>Dovolená</t>
  </si>
  <si>
    <t>Prémie</t>
  </si>
  <si>
    <t>Pondělí</t>
  </si>
  <si>
    <t>Úterý</t>
  </si>
  <si>
    <t>Středa</t>
  </si>
  <si>
    <t>Čtvrtek</t>
  </si>
  <si>
    <t>Pátek</t>
  </si>
  <si>
    <t>Sobota</t>
  </si>
  <si>
    <t>Neděle</t>
  </si>
  <si>
    <t>R</t>
  </si>
  <si>
    <t>O</t>
  </si>
  <si>
    <t>N</t>
  </si>
  <si>
    <t>Třída zařazení</t>
  </si>
  <si>
    <t>1.</t>
  </si>
  <si>
    <t>2.</t>
  </si>
  <si>
    <t>3.</t>
  </si>
  <si>
    <t>4.</t>
  </si>
  <si>
    <t>5.</t>
  </si>
  <si>
    <t>6.</t>
  </si>
  <si>
    <t>z toho Ranní</t>
  </si>
  <si>
    <t>z toho Odpolední</t>
  </si>
  <si>
    <t>z toho Noční</t>
  </si>
  <si>
    <t>Základní Mzda</t>
  </si>
  <si>
    <t>Hrubá Mzda</t>
  </si>
  <si>
    <t>Čistá Mzda</t>
  </si>
  <si>
    <t>Sleva na poplatníka</t>
  </si>
  <si>
    <t>24 840 Kč (měsíčně 2070 Kč)</t>
  </si>
  <si>
    <t>Sleva na vyživovaného manžela ZTP/P</t>
  </si>
  <si>
    <t>49 680 Kč (měsíčně 4140 Kč)</t>
  </si>
  <si>
    <t>Sleva pro invalidní důchod I. a II. stupně</t>
  </si>
  <si>
    <t>2 520 Kč (měsíčně 210 Kč)</t>
  </si>
  <si>
    <t>Sleva pro invalidní důchod III. Stupně</t>
  </si>
  <si>
    <t>5 040 Kč (měsíčně 420 Kč)</t>
  </si>
  <si>
    <t>Sleva pro držitele průkazu ZTP/P</t>
  </si>
  <si>
    <t>16 140 Kč (měsíčně 1345 Kč)</t>
  </si>
  <si>
    <t>Sleva pro studenta</t>
  </si>
  <si>
    <t>4 020 Kč (měsíčně 335 Kč)</t>
  </si>
  <si>
    <t>Daňové zvýhodnění na první dítě</t>
  </si>
  <si>
    <t>13 404 Kč (1117 Kč měsíčně)</t>
  </si>
  <si>
    <t>Daňové zvýhodnění na druhé dítě</t>
  </si>
  <si>
    <t>19 404 Kč (1617 Kč měsíčně)</t>
  </si>
  <si>
    <t>Daňové zvýhodnění na třetí a další dítě</t>
  </si>
  <si>
    <t>24 204 Kč (2017 Kč měsíčně)</t>
  </si>
  <si>
    <t>Daňové zvýhodnění na dítě s průkazem ZTP/P </t>
  </si>
  <si>
    <t>26 808 Kč (měsíčně 2234 Kč)</t>
  </si>
  <si>
    <t>Daňové zvýhodnění na druhé dítě ZTP/P </t>
  </si>
  <si>
    <t>38 808 Kč (měsíčně 3234 Kč)</t>
  </si>
  <si>
    <t>Daňové zvýhodnění na třetí a další dítě ZTP/P </t>
  </si>
  <si>
    <t>48 408 Kč (měsíčně 4034 Kč)</t>
  </si>
  <si>
    <t>1. měsíc dozadu</t>
  </si>
  <si>
    <t>2. měsíce dozadu</t>
  </si>
  <si>
    <t>3. měsíc dozadu</t>
  </si>
  <si>
    <t>Čtvrdletní průměr</t>
  </si>
  <si>
    <t>Dřívější Hrubá Mzda 1. - 3. měsíc a odpracovaných hodin</t>
  </si>
  <si>
    <t>hod.</t>
  </si>
  <si>
    <t>Daňové zvýhodnění na dítě</t>
  </si>
  <si>
    <t>Daňové zvýhodnění na dítě s průkazem ZTP/P</t>
  </si>
  <si>
    <t>Ranní Svátek</t>
  </si>
  <si>
    <t>Odpolední Svátek</t>
  </si>
  <si>
    <t>Noční Svátek</t>
  </si>
  <si>
    <t>Odpracovaných směn</t>
  </si>
  <si>
    <t>Hodiny přesčas</t>
  </si>
  <si>
    <t>Kalendář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</si>
  <si>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</si>
  <si>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</si>
  <si>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</si>
  <si>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</si>
  <si>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</si>
  <si>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</si>
  <si>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</si>
  <si>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</si>
  <si>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</si>
  <si>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</si>
  <si>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</si>
  <si>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</si>
  <si>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Den</t>
  </si>
  <si>
    <t>Měsíc</t>
  </si>
  <si>
    <t>Rok</t>
  </si>
  <si>
    <t>Datum</t>
  </si>
  <si>
    <t>Dní v měsíci</t>
  </si>
  <si>
    <t>Ranní So</t>
  </si>
  <si>
    <t>Odpolední So</t>
  </si>
  <si>
    <t>Noční So</t>
  </si>
  <si>
    <t>Ranní Ne</t>
  </si>
  <si>
    <t>Odpolední Ne</t>
  </si>
  <si>
    <t>Noční Ne</t>
  </si>
  <si>
    <t>Krev</t>
  </si>
  <si>
    <t>Náhrada</t>
  </si>
  <si>
    <t>Přesčas Ranní So</t>
  </si>
  <si>
    <t>Přesčas Odpolední Ne</t>
  </si>
  <si>
    <t>Přesčas Odpolední So</t>
  </si>
  <si>
    <t>Přesčas Noční So</t>
  </si>
  <si>
    <t>Přesčas Ranní Ne</t>
  </si>
  <si>
    <t>Přesčas Noční Ne</t>
  </si>
  <si>
    <t>Přesčas Ranní Svátek</t>
  </si>
  <si>
    <t>Přesčas Odpolední Svátek</t>
  </si>
  <si>
    <t>Přesčas Noční Svátek</t>
  </si>
  <si>
    <t>Přesčas Ranní So Svátek</t>
  </si>
  <si>
    <t>Přesčas Odpolední So Svátek</t>
  </si>
  <si>
    <t>Přesčas Noční So Svátek</t>
  </si>
  <si>
    <t>Přesčas Ranní Ne Svátek</t>
  </si>
  <si>
    <t>Přesčas Odpolední Ne Svátek</t>
  </si>
  <si>
    <t>Přesčas Noční Ne Svátek</t>
  </si>
  <si>
    <t>x</t>
  </si>
  <si>
    <t>průměr</t>
  </si>
  <si>
    <t>25% + průměr</t>
  </si>
  <si>
    <t>.+ průměr</t>
  </si>
  <si>
    <t>základ</t>
  </si>
  <si>
    <t>.+ 8,- Kč</t>
  </si>
  <si>
    <t>.+ 30,- Kč</t>
  </si>
  <si>
    <t>50% + průměr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</si>
  <si>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</si>
  <si>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</si>
  <si>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</si>
  <si>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</si>
  <si>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</si>
  <si>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</si>
  <si>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</si>
  <si>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</si>
  <si>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</si>
  <si>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</si>
  <si>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</si>
  <si>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</si>
  <si>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</si>
  <si>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</si>
  <si>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</si>
  <si>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</si>
  <si>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</si>
  <si>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</si>
  <si>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</si>
  <si>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</si>
  <si>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</si>
  <si>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</si>
  <si>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</si>
  <si>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</si>
  <si>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</si>
  <si>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</si>
  <si>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</si>
  <si>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</si>
  <si>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</si>
  <si>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</si>
  <si>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</si>
  <si>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</si>
  <si>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</si>
  <si>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</si>
  <si>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</si>
  <si>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</si>
  <si>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</si>
  <si>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</si>
  <si>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</si>
  <si>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</si>
  <si>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</si>
  <si>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</si>
  <si>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</si>
  <si>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</si>
  <si>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</si>
  <si>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</si>
  <si>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</si>
  <si>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Volno</t>
  </si>
  <si>
    <t>SV</t>
  </si>
  <si>
    <t>RSV</t>
  </si>
  <si>
    <t>OSV</t>
  </si>
  <si>
    <t>NSV</t>
  </si>
  <si>
    <t>PR</t>
  </si>
  <si>
    <t>PO</t>
  </si>
  <si>
    <t>PN</t>
  </si>
  <si>
    <t>DOV</t>
  </si>
  <si>
    <t>KREV</t>
  </si>
  <si>
    <t>NAH</t>
  </si>
  <si>
    <t>PRSV</t>
  </si>
  <si>
    <t>POSV</t>
  </si>
  <si>
    <t>PNSV</t>
  </si>
  <si>
    <t>VOLNO</t>
  </si>
  <si>
    <t>Směna</t>
  </si>
  <si>
    <t>0.</t>
  </si>
  <si>
    <t>Hod.</t>
  </si>
  <si>
    <t>Přesčas</t>
  </si>
  <si>
    <t>z toho Ranní / sobota+neděle</t>
  </si>
  <si>
    <t>z toho Odpolední / sobota+neděle</t>
  </si>
  <si>
    <t>z toho Noční / sobota+neděle</t>
  </si>
  <si>
    <t>z toho Svátek / Ranní + Odpolední + Noční</t>
  </si>
  <si>
    <t>Ranní  So Svátek</t>
  </si>
  <si>
    <t>Odpolední So Svátek</t>
  </si>
  <si>
    <t>Noční So Svátek</t>
  </si>
  <si>
    <t>Ranní Ne Svátek</t>
  </si>
  <si>
    <t>Odpolední Ne Svátek</t>
  </si>
  <si>
    <t>Noční Ne Svátek</t>
  </si>
  <si>
    <t>Pauza</t>
  </si>
  <si>
    <t>Délka pauzy</t>
  </si>
  <si>
    <t>Nárok na pauzu</t>
  </si>
  <si>
    <t>Násobek pauzy</t>
  </si>
  <si>
    <t>Super Hrubá Mzda</t>
  </si>
  <si>
    <t>8 Hod.</t>
  </si>
  <si>
    <t>12 Hod.</t>
  </si>
  <si>
    <t>sociální pojištění</t>
  </si>
  <si>
    <t>zdravotní pojištění</t>
  </si>
  <si>
    <t>sociální pojištění SHM</t>
  </si>
  <si>
    <t>zdravotní pojištění SHM</t>
  </si>
  <si>
    <t>Základ daně</t>
  </si>
  <si>
    <t>Legenda:</t>
  </si>
  <si>
    <t>&lt;= Dají se vyplnit .</t>
  </si>
  <si>
    <t>U směn tadejte jakou směnu jste měli.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</si>
</sst>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Kč&quot;"/>
    <numFmt numFmtId="165" formatCode="#,##0.00\ &quot;Kč&quot;"/>
    <numFmt numFmtId="166" formatCode="d/m;@"/>
    <numFmt numFmtId="167" formatCode="0.0%"/>
    <numFmt numFmtId="168" formatCode="#,##0.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749E9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9" fontId="0" fillId="0" borderId="0" xfId="0" applyNumberFormat="1"/>
    <xf numFmtId="0" fontId="0" fillId="6" borderId="0" xfId="0" applyFill="1"/>
    <xf numFmtId="164" fontId="0" fillId="3" borderId="0" xfId="0" applyNumberFormat="1" applyFill="1"/>
    <xf numFmtId="0" fontId="1" fillId="7" borderId="0" xfId="0" applyFont="1" applyFill="1" applyAlignment="1">
      <alignment vertical="center" wrapText="1"/>
    </xf>
    <xf numFmtId="164" fontId="0" fillId="0" borderId="0" xfId="0" applyNumberFormat="1"/>
    <xf numFmtId="164" fontId="0" fillId="4" borderId="0" xfId="0" applyNumberFormat="1" applyFill="1"/>
    <xf numFmtId="165" fontId="0" fillId="0" borderId="0" xfId="0" applyNumberFormat="1"/>
    <xf numFmtId="0" fontId="0" fillId="2" borderId="0" xfId="0" applyFill="1" applyProtection="1">
      <protection locked="0"/>
    </xf>
    <xf numFmtId="9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3" borderId="0" xfId="0" applyFill="1"/>
    <xf numFmtId="166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10" borderId="0" xfId="0" applyFill="1"/>
    <xf numFmtId="0" fontId="0" fillId="4" borderId="0" xfId="0" applyFill="1"/>
    <xf numFmtId="9" fontId="0" fillId="4" borderId="0" xfId="0" applyNumberFormat="1" applyFill="1"/>
    <xf numFmtId="0" fontId="0" fillId="11" borderId="0" xfId="0" applyFill="1"/>
    <xf numFmtId="0" fontId="0" fillId="0" borderId="0" xfId="0" applyNumberFormat="1" applyAlignment="1">
      <alignment horizontal="center" vertical="center"/>
    </xf>
    <xf numFmtId="164" fontId="0" fillId="2" borderId="0" xfId="0" applyNumberFormat="1" applyFill="1"/>
    <xf numFmtId="165" fontId="0" fillId="3" borderId="0" xfId="0" applyNumberFormat="1" applyFill="1"/>
    <xf numFmtId="165" fontId="0" fillId="4" borderId="0" xfId="0" applyNumberFormat="1" applyFill="1"/>
    <xf numFmtId="164" fontId="0" fillId="10" borderId="0" xfId="0" applyNumberFormat="1" applyFill="1"/>
    <xf numFmtId="164" fontId="0" fillId="11" borderId="0" xfId="0" applyNumberFormat="1" applyFill="1"/>
    <xf numFmtId="0" fontId="2" fillId="0" borderId="0" xfId="0" applyFont="1"/>
    <xf numFmtId="167" fontId="2" fillId="8" borderId="0" xfId="0" applyNumberFormat="1" applyFont="1" applyFill="1"/>
    <xf numFmtId="164" fontId="2" fillId="4" borderId="0" xfId="0" applyNumberFormat="1" applyFont="1" applyFill="1"/>
    <xf numFmtId="168" fontId="0" fillId="10" borderId="0" xfId="0" applyNumberFormat="1" applyFill="1"/>
    <xf numFmtId="0" fontId="0" fillId="6" borderId="0" xfId="0" applyNumberFormat="1" applyFill="1"/>
    <xf numFmtId="164" fontId="0" fillId="2" borderId="0" xfId="0" applyNumberFormat="1" applyFill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164" fontId="0" fillId="12" borderId="0" xfId="0" applyNumberFormat="1" applyFill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74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tabSelected="1" zoomScaleNormal="100" workbookViewId="0">
      <selection activeCell="G26" sqref="G26"/>
    </sheetView>
  </sheetViews>
  <sheetFormatPr defaultRowHeight="15" x14ac:dyDescent="0.25"/>
  <cols>
    <col min="2" max="2" width="41.5703125" customWidth="1"/>
    <col min="3" max="3" width="11.85546875" bestFit="1" customWidth="1"/>
    <col min="4" max="4" width="11.28515625" bestFit="1" customWidth="1"/>
    <col min="7" max="9" width="24" bestFit="1" customWidth="1"/>
    <col min="10" max="12" width="26.5703125" bestFit="1" customWidth="1"/>
  </cols>
  <sheetData>
    <row r="1" spans="2:12" ht="15.75" thickBot="1" x14ac:dyDescent="0.3"/>
    <row r="2" spans="2:12" ht="15.75" thickBot="1" x14ac:dyDescent="0.3">
      <c r="B2" t="s">
        <v>181</v>
      </c>
      <c r="C2" s="8">
        <v>12</v>
      </c>
      <c r="D2" t="s">
        <v>62</v>
      </c>
      <c r="F2" s="23"/>
      <c r="G2" s="23" t="s">
        <v>21</v>
      </c>
      <c r="H2" s="23" t="s">
        <v>22</v>
      </c>
      <c r="I2" s="23" t="s">
        <v>23</v>
      </c>
      <c r="J2" s="23" t="s">
        <v>24</v>
      </c>
      <c r="K2" s="23" t="s">
        <v>25</v>
      </c>
      <c r="L2" s="23" t="s">
        <v>26</v>
      </c>
    </row>
    <row r="3" spans="2:12" ht="15.75" thickBot="1" x14ac:dyDescent="0.3">
      <c r="B3" t="s">
        <v>196</v>
      </c>
      <c r="C3" s="8">
        <v>0.5</v>
      </c>
      <c r="D3" t="s">
        <v>62</v>
      </c>
      <c r="F3" s="23" t="s">
        <v>10</v>
      </c>
      <c r="G3" s="49"/>
      <c r="H3" s="49"/>
      <c r="I3" s="49"/>
      <c r="J3" s="49"/>
      <c r="K3" s="49"/>
      <c r="L3" s="49"/>
    </row>
    <row r="4" spans="2:12" ht="15.75" thickBot="1" x14ac:dyDescent="0.3">
      <c r="B4" t="s">
        <v>197</v>
      </c>
      <c r="C4" s="50">
        <f>Data!F54</f>
        <v>2</v>
      </c>
      <c r="F4" s="23" t="s">
        <v>11</v>
      </c>
      <c r="G4" s="49"/>
      <c r="H4" s="49"/>
      <c r="I4" s="49"/>
      <c r="J4" s="49"/>
      <c r="K4" s="49"/>
      <c r="L4" s="49"/>
    </row>
    <row r="5" spans="2:12" ht="15.75" thickBot="1" x14ac:dyDescent="0.3">
      <c r="B5" t="s">
        <v>20</v>
      </c>
      <c r="C5" s="48">
        <v>155</v>
      </c>
      <c r="F5" s="23" t="s">
        <v>12</v>
      </c>
      <c r="G5" s="49"/>
      <c r="H5" s="49"/>
      <c r="I5" s="49"/>
      <c r="J5" s="49"/>
      <c r="K5" s="49"/>
      <c r="L5" s="49"/>
    </row>
    <row r="6" spans="2:12" ht="15.75" thickBot="1" x14ac:dyDescent="0.3">
      <c r="B6" t="s">
        <v>1</v>
      </c>
      <c r="C6" s="3">
        <f>C5</f>
        <v>155</v>
      </c>
      <c r="F6" s="23" t="s">
        <v>13</v>
      </c>
      <c r="G6" s="49"/>
      <c r="H6" s="49"/>
      <c r="I6" s="49"/>
      <c r="J6" s="49"/>
      <c r="K6" s="49"/>
      <c r="L6" s="49"/>
    </row>
    <row r="7" spans="2:12" ht="15.75" thickBot="1" x14ac:dyDescent="0.3">
      <c r="B7" t="s">
        <v>2</v>
      </c>
      <c r="C7" s="3">
        <f>C6+Data!D2</f>
        <v>163</v>
      </c>
      <c r="F7" s="23" t="s">
        <v>14</v>
      </c>
      <c r="G7" s="49"/>
      <c r="H7" s="49"/>
      <c r="I7" s="49"/>
      <c r="J7" s="49"/>
      <c r="K7" s="49"/>
      <c r="L7" s="49"/>
    </row>
    <row r="8" spans="2:12" ht="15.75" thickBot="1" x14ac:dyDescent="0.3">
      <c r="B8" t="s">
        <v>3</v>
      </c>
      <c r="C8" s="3">
        <f>C6+Data!D3</f>
        <v>185</v>
      </c>
      <c r="F8" s="23" t="s">
        <v>15</v>
      </c>
      <c r="G8" s="49"/>
      <c r="H8" s="49"/>
      <c r="I8" s="49"/>
      <c r="J8" s="49"/>
      <c r="K8" s="49"/>
      <c r="L8" s="49"/>
    </row>
    <row r="9" spans="2:12" ht="15.75" thickBot="1" x14ac:dyDescent="0.3">
      <c r="F9" s="23" t="s">
        <v>16</v>
      </c>
      <c r="G9" s="49"/>
      <c r="H9" s="49"/>
      <c r="I9" s="49"/>
      <c r="J9" s="49"/>
      <c r="K9" s="49"/>
      <c r="L9" s="49"/>
    </row>
    <row r="10" spans="2:12" x14ac:dyDescent="0.25">
      <c r="B10" t="s">
        <v>68</v>
      </c>
      <c r="C10" s="18">
        <f>SUM(Data!F1:F9,Data!F14:F40)</f>
        <v>0</v>
      </c>
      <c r="D10">
        <f>(C10+C20)*(C2-C3*C4)+K11</f>
        <v>0</v>
      </c>
    </row>
    <row r="11" spans="2:12" x14ac:dyDescent="0.25">
      <c r="B11" t="s">
        <v>27</v>
      </c>
      <c r="C11" s="2">
        <f>Data!F1</f>
        <v>0</v>
      </c>
      <c r="F11" t="s">
        <v>9</v>
      </c>
      <c r="G11" s="9">
        <v>0</v>
      </c>
      <c r="H11" s="3">
        <f>Data!G51</f>
        <v>0</v>
      </c>
      <c r="J11" t="s">
        <v>69</v>
      </c>
      <c r="K11" s="8"/>
      <c r="L11" t="s">
        <v>183</v>
      </c>
    </row>
    <row r="12" spans="2:12" x14ac:dyDescent="0.25">
      <c r="B12" t="s">
        <v>28</v>
      </c>
      <c r="C12" s="2">
        <f>Data!F2</f>
        <v>0</v>
      </c>
    </row>
    <row r="13" spans="2:12" x14ac:dyDescent="0.25">
      <c r="B13" t="s">
        <v>29</v>
      </c>
      <c r="C13" s="2">
        <f>Data!F3</f>
        <v>0</v>
      </c>
      <c r="F13" t="s">
        <v>61</v>
      </c>
      <c r="I13" s="39">
        <f>Data!F55</f>
        <v>155</v>
      </c>
    </row>
    <row r="14" spans="2:12" x14ac:dyDescent="0.25">
      <c r="B14" t="s">
        <v>185</v>
      </c>
      <c r="C14" s="2">
        <f>SUM(Data!F4,Data!F7)</f>
        <v>0</v>
      </c>
      <c r="F14" t="s">
        <v>57</v>
      </c>
      <c r="H14" s="10">
        <v>0</v>
      </c>
      <c r="I14" s="11">
        <v>0</v>
      </c>
      <c r="J14" t="s">
        <v>62</v>
      </c>
    </row>
    <row r="15" spans="2:12" x14ac:dyDescent="0.25">
      <c r="B15" t="s">
        <v>186</v>
      </c>
      <c r="C15" s="2">
        <f>SUM(Data!F5,Data!F8)</f>
        <v>0</v>
      </c>
      <c r="F15" t="s">
        <v>58</v>
      </c>
      <c r="H15" s="12">
        <v>0</v>
      </c>
      <c r="I15" s="13">
        <v>0</v>
      </c>
      <c r="J15" t="s">
        <v>62</v>
      </c>
    </row>
    <row r="16" spans="2:12" x14ac:dyDescent="0.25">
      <c r="B16" t="s">
        <v>187</v>
      </c>
      <c r="C16" s="2">
        <f>SUM(Data!F6,Data!F9)</f>
        <v>0</v>
      </c>
      <c r="F16" t="s">
        <v>59</v>
      </c>
      <c r="H16" s="14">
        <v>0</v>
      </c>
      <c r="I16" s="11">
        <v>0</v>
      </c>
      <c r="J16" t="s">
        <v>62</v>
      </c>
    </row>
    <row r="17" spans="2:12" x14ac:dyDescent="0.25">
      <c r="B17" t="s">
        <v>188</v>
      </c>
      <c r="C17" s="2">
        <f>SUM(Data!F14:F22)</f>
        <v>0</v>
      </c>
    </row>
    <row r="18" spans="2:12" x14ac:dyDescent="0.25">
      <c r="B18" t="s">
        <v>7</v>
      </c>
      <c r="C18" s="2">
        <f>Data!F10</f>
        <v>0</v>
      </c>
      <c r="F18" t="s">
        <v>30</v>
      </c>
      <c r="H18" s="51">
        <f>Data!F57</f>
        <v>0</v>
      </c>
      <c r="L18" s="1"/>
    </row>
    <row r="19" spans="2:12" x14ac:dyDescent="0.25">
      <c r="B19" t="s">
        <v>8</v>
      </c>
      <c r="C19" s="2">
        <f>Data!F11</f>
        <v>0</v>
      </c>
      <c r="F19" t="s">
        <v>31</v>
      </c>
      <c r="H19" s="51">
        <f>Data!F56</f>
        <v>0</v>
      </c>
      <c r="L19" s="1"/>
    </row>
    <row r="20" spans="2:12" x14ac:dyDescent="0.25">
      <c r="B20" t="s">
        <v>95</v>
      </c>
      <c r="C20" s="2">
        <f>SUM(Data!F12:F13)</f>
        <v>0</v>
      </c>
      <c r="F20" t="s">
        <v>32</v>
      </c>
      <c r="H20" s="51">
        <f>Data!F59</f>
        <v>2070</v>
      </c>
      <c r="L20" s="1"/>
    </row>
    <row r="21" spans="2:12" x14ac:dyDescent="0.25">
      <c r="B21" t="s">
        <v>184</v>
      </c>
      <c r="C21" s="2">
        <f>SUM(Data!F23:F40)</f>
        <v>0</v>
      </c>
      <c r="L21" s="1"/>
    </row>
    <row r="22" spans="2:12" x14ac:dyDescent="0.25">
      <c r="B22" t="s">
        <v>166</v>
      </c>
      <c r="C22" s="36">
        <f>Data!F41</f>
        <v>0</v>
      </c>
      <c r="L22" s="1"/>
    </row>
    <row r="23" spans="2:12" x14ac:dyDescent="0.25">
      <c r="L23" s="1"/>
    </row>
    <row r="24" spans="2:12" x14ac:dyDescent="0.25">
      <c r="B24" s="4" t="s">
        <v>35</v>
      </c>
      <c r="C24" s="15">
        <v>0</v>
      </c>
      <c r="F24" t="s">
        <v>207</v>
      </c>
      <c r="G24" s="52"/>
      <c r="H24" t="s">
        <v>208</v>
      </c>
      <c r="L24" s="1"/>
    </row>
    <row r="25" spans="2:12" x14ac:dyDescent="0.25">
      <c r="B25" s="4" t="s">
        <v>37</v>
      </c>
      <c r="C25" s="8">
        <v>0</v>
      </c>
      <c r="G25" t="s">
        <v>209</v>
      </c>
      <c r="L25" s="1"/>
    </row>
    <row r="26" spans="2:12" x14ac:dyDescent="0.25">
      <c r="B26" s="4" t="s">
        <v>39</v>
      </c>
      <c r="C26" s="16">
        <v>0</v>
      </c>
      <c r="L26" s="1"/>
    </row>
    <row r="27" spans="2:12" x14ac:dyDescent="0.25">
      <c r="B27" s="4" t="s">
        <v>41</v>
      </c>
      <c r="C27" s="17">
        <v>0</v>
      </c>
    </row>
    <row r="28" spans="2:12" x14ac:dyDescent="0.25">
      <c r="B28" s="4" t="s">
        <v>43</v>
      </c>
      <c r="C28" s="17">
        <v>0</v>
      </c>
    </row>
    <row r="29" spans="2:12" x14ac:dyDescent="0.25">
      <c r="B29" s="4" t="s">
        <v>63</v>
      </c>
      <c r="C29" s="15">
        <v>0</v>
      </c>
    </row>
    <row r="30" spans="2:12" ht="15" customHeight="1" x14ac:dyDescent="0.25">
      <c r="B30" s="4" t="s">
        <v>64</v>
      </c>
      <c r="C30" s="16">
        <v>0</v>
      </c>
    </row>
  </sheetData>
  <sheetProtection algorithmName="SHA-512" hashValue="uXnXt6W5X5j+sVHBmxsjZ0muCsHCLMy6/AzIZ9Us6AIbYt2Wj61ZvWjam6aoxvmkDT8R02ZCI8EtxGBR7CSzqg==" saltValue="P0I0RcarzERsqxMx+j4pC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Data!$B$42:$B$49</xm:f>
          </x14:formula1>
          <xm:sqref>C5</xm:sqref>
        </x14:dataValidation>
        <x14:dataValidation type="list" allowBlank="1" showInputMessage="1" showErrorMessage="1">
          <x14:formula1>
            <xm:f>Data!$N$1:$N$22</xm:f>
          </x14:formula1>
          <xm:sqref>G3:L9</xm:sqref>
        </x14:dataValidation>
        <x14:dataValidation type="list" allowBlank="1" showInputMessage="1" showErrorMessage="1">
          <x14:formula1>
            <xm:f>Data!$B$52:$C$52</xm:f>
          </x14:formula1>
          <xm:sqref>C2</xm:sqref>
        </x14:dataValidation>
        <x14:dataValidation type="list" allowBlank="1" showInputMessage="1" showErrorMessage="1">
          <x14:formula1>
            <xm:f>Data!$B$53:$D$53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workbookViewId="0">
      <selection activeCell="A10" sqref="A10"/>
    </sheetView>
  </sheetViews>
  <sheetFormatPr defaultRowHeight="15" x14ac:dyDescent="0.25"/>
  <cols>
    <col min="2" max="2" width="9.85546875" customWidth="1"/>
    <col min="8" max="8" width="9.7109375" customWidth="1"/>
    <col min="14" max="14" width="9.85546875" customWidth="1"/>
    <col min="15" max="15" width="9.7109375" customWidth="1"/>
  </cols>
  <sheetData>
    <row r="1" spans="2:20" ht="15.75" thickBot="1" x14ac:dyDescent="0.3"/>
    <row r="2" spans="2:20" ht="15.75" thickBot="1" x14ac:dyDescent="0.3">
      <c r="B2" s="26" t="s">
        <v>71</v>
      </c>
      <c r="C2" s="27" t="s">
        <v>21</v>
      </c>
      <c r="D2" s="27" t="s">
        <v>22</v>
      </c>
      <c r="E2" s="27" t="s">
        <v>23</v>
      </c>
      <c r="F2" s="27" t="s">
        <v>24</v>
      </c>
      <c r="G2" s="27" t="s">
        <v>25</v>
      </c>
      <c r="H2" s="26" t="s">
        <v>72</v>
      </c>
      <c r="I2" s="27" t="s">
        <v>25</v>
      </c>
      <c r="J2" s="27" t="s">
        <v>26</v>
      </c>
      <c r="K2" s="27" t="s">
        <v>119</v>
      </c>
      <c r="L2" s="27" t="s">
        <v>120</v>
      </c>
      <c r="M2" s="27" t="s">
        <v>121</v>
      </c>
      <c r="N2" s="26" t="s">
        <v>73</v>
      </c>
      <c r="O2" s="27" t="s">
        <v>121</v>
      </c>
      <c r="P2" s="27" t="s">
        <v>122</v>
      </c>
      <c r="Q2" s="27" t="s">
        <v>123</v>
      </c>
      <c r="R2" s="27" t="s">
        <v>124</v>
      </c>
      <c r="S2" s="27" t="s">
        <v>125</v>
      </c>
      <c r="T2" s="27" t="s">
        <v>126</v>
      </c>
    </row>
    <row r="3" spans="2:20" ht="15.75" thickBot="1" x14ac:dyDescent="0.3">
      <c r="B3" s="28" t="s">
        <v>10</v>
      </c>
      <c r="C3" s="30"/>
      <c r="D3" s="23">
        <v>6</v>
      </c>
      <c r="E3" s="23">
        <v>13</v>
      </c>
      <c r="F3" s="23">
        <v>20</v>
      </c>
      <c r="G3" s="23">
        <v>27</v>
      </c>
      <c r="H3" s="28" t="s">
        <v>10</v>
      </c>
      <c r="I3" s="30"/>
      <c r="J3" s="23">
        <v>3</v>
      </c>
      <c r="K3" s="23">
        <v>10</v>
      </c>
      <c r="L3" s="23">
        <v>17</v>
      </c>
      <c r="M3" s="23">
        <v>24</v>
      </c>
      <c r="N3" s="28" t="s">
        <v>10</v>
      </c>
      <c r="O3" s="30"/>
      <c r="P3" s="23">
        <v>2</v>
      </c>
      <c r="Q3" s="23">
        <v>9</v>
      </c>
      <c r="R3" s="23">
        <v>16</v>
      </c>
      <c r="S3" s="23">
        <v>23</v>
      </c>
      <c r="T3" s="23">
        <v>30</v>
      </c>
    </row>
    <row r="4" spans="2:20" ht="15.75" thickBot="1" x14ac:dyDescent="0.3">
      <c r="B4" s="28" t="s">
        <v>11</v>
      </c>
      <c r="C4" s="30"/>
      <c r="D4" s="23">
        <v>7</v>
      </c>
      <c r="E4" s="23">
        <v>14</v>
      </c>
      <c r="F4" s="23">
        <v>21</v>
      </c>
      <c r="G4" s="23">
        <v>28</v>
      </c>
      <c r="H4" s="28" t="s">
        <v>11</v>
      </c>
      <c r="I4" s="30"/>
      <c r="J4" s="23">
        <v>4</v>
      </c>
      <c r="K4" s="23">
        <v>11</v>
      </c>
      <c r="L4" s="23">
        <v>18</v>
      </c>
      <c r="M4" s="23">
        <v>25</v>
      </c>
      <c r="N4" s="28" t="s">
        <v>11</v>
      </c>
      <c r="O4" s="30"/>
      <c r="P4" s="23">
        <v>3</v>
      </c>
      <c r="Q4" s="23">
        <v>10</v>
      </c>
      <c r="R4" s="23">
        <v>17</v>
      </c>
      <c r="S4" s="23">
        <v>24</v>
      </c>
      <c r="T4" s="23">
        <v>31</v>
      </c>
    </row>
    <row r="5" spans="2:20" ht="15.75" thickBot="1" x14ac:dyDescent="0.3">
      <c r="B5" s="28" t="s">
        <v>12</v>
      </c>
      <c r="C5" s="24">
        <v>1</v>
      </c>
      <c r="D5" s="23">
        <v>8</v>
      </c>
      <c r="E5" s="23">
        <v>15</v>
      </c>
      <c r="F5" s="23">
        <v>22</v>
      </c>
      <c r="G5" s="23">
        <v>29</v>
      </c>
      <c r="H5" s="28" t="s">
        <v>12</v>
      </c>
      <c r="I5" s="30"/>
      <c r="J5" s="23">
        <v>5</v>
      </c>
      <c r="K5" s="23">
        <v>12</v>
      </c>
      <c r="L5" s="23">
        <v>19</v>
      </c>
      <c r="M5" s="23">
        <v>26</v>
      </c>
      <c r="N5" s="28" t="s">
        <v>12</v>
      </c>
      <c r="O5" s="30"/>
      <c r="P5" s="23">
        <v>4</v>
      </c>
      <c r="Q5" s="23">
        <v>11</v>
      </c>
      <c r="R5" s="23">
        <v>18</v>
      </c>
      <c r="S5" s="23">
        <v>25</v>
      </c>
      <c r="T5" s="30"/>
    </row>
    <row r="6" spans="2:20" ht="15.75" thickBot="1" x14ac:dyDescent="0.3">
      <c r="B6" s="28" t="s">
        <v>13</v>
      </c>
      <c r="C6" s="23">
        <v>2</v>
      </c>
      <c r="D6" s="23">
        <v>9</v>
      </c>
      <c r="E6" s="23">
        <v>16</v>
      </c>
      <c r="F6" s="23">
        <v>23</v>
      </c>
      <c r="G6" s="23">
        <v>30</v>
      </c>
      <c r="H6" s="28" t="s">
        <v>13</v>
      </c>
      <c r="I6" s="30"/>
      <c r="J6" s="23">
        <v>6</v>
      </c>
      <c r="K6" s="23">
        <v>13</v>
      </c>
      <c r="L6" s="23">
        <v>20</v>
      </c>
      <c r="M6" s="23">
        <v>27</v>
      </c>
      <c r="N6" s="28" t="s">
        <v>13</v>
      </c>
      <c r="O6" s="30"/>
      <c r="P6" s="23">
        <v>5</v>
      </c>
      <c r="Q6" s="23">
        <v>12</v>
      </c>
      <c r="R6" s="23">
        <v>19</v>
      </c>
      <c r="S6" s="23">
        <v>26</v>
      </c>
      <c r="T6" s="30"/>
    </row>
    <row r="7" spans="2:20" ht="15.75" thickBot="1" x14ac:dyDescent="0.3">
      <c r="B7" s="28" t="s">
        <v>14</v>
      </c>
      <c r="C7" s="23">
        <v>3</v>
      </c>
      <c r="D7" s="23">
        <v>10</v>
      </c>
      <c r="E7" s="23">
        <v>17</v>
      </c>
      <c r="F7" s="23">
        <v>24</v>
      </c>
      <c r="G7" s="23">
        <v>31</v>
      </c>
      <c r="H7" s="28" t="s">
        <v>14</v>
      </c>
      <c r="I7" s="30"/>
      <c r="J7" s="23">
        <v>7</v>
      </c>
      <c r="K7" s="23">
        <v>14</v>
      </c>
      <c r="L7" s="23">
        <v>21</v>
      </c>
      <c r="M7" s="23">
        <v>28</v>
      </c>
      <c r="N7" s="28" t="s">
        <v>14</v>
      </c>
      <c r="O7" s="30"/>
      <c r="P7" s="23">
        <v>6</v>
      </c>
      <c r="Q7" s="23">
        <v>13</v>
      </c>
      <c r="R7" s="23">
        <v>20</v>
      </c>
      <c r="S7" s="23">
        <v>27</v>
      </c>
      <c r="T7" s="30"/>
    </row>
    <row r="8" spans="2:20" ht="15.75" thickBot="1" x14ac:dyDescent="0.3">
      <c r="B8" s="29" t="s">
        <v>15</v>
      </c>
      <c r="C8" s="23">
        <v>4</v>
      </c>
      <c r="D8" s="23">
        <v>11</v>
      </c>
      <c r="E8" s="23">
        <v>18</v>
      </c>
      <c r="F8" s="23">
        <v>25</v>
      </c>
      <c r="G8" s="30"/>
      <c r="H8" s="29" t="s">
        <v>15</v>
      </c>
      <c r="I8" s="23">
        <v>1</v>
      </c>
      <c r="J8" s="23">
        <v>8</v>
      </c>
      <c r="K8" s="23">
        <v>15</v>
      </c>
      <c r="L8" s="23">
        <v>22</v>
      </c>
      <c r="M8" s="23">
        <v>29</v>
      </c>
      <c r="N8" s="29" t="s">
        <v>15</v>
      </c>
      <c r="O8" s="30"/>
      <c r="P8" s="23">
        <v>7</v>
      </c>
      <c r="Q8" s="23">
        <v>14</v>
      </c>
      <c r="R8" s="23">
        <v>21</v>
      </c>
      <c r="S8" s="23">
        <v>28</v>
      </c>
      <c r="T8" s="30"/>
    </row>
    <row r="9" spans="2:20" ht="15.75" thickBot="1" x14ac:dyDescent="0.3">
      <c r="B9" s="25" t="s">
        <v>16</v>
      </c>
      <c r="C9" s="23">
        <v>5</v>
      </c>
      <c r="D9" s="23">
        <v>12</v>
      </c>
      <c r="E9" s="23">
        <v>19</v>
      </c>
      <c r="F9" s="23">
        <v>26</v>
      </c>
      <c r="G9" s="30"/>
      <c r="H9" s="25" t="s">
        <v>16</v>
      </c>
      <c r="I9" s="23">
        <v>2</v>
      </c>
      <c r="J9" s="23">
        <v>9</v>
      </c>
      <c r="K9" s="23">
        <v>16</v>
      </c>
      <c r="L9" s="23">
        <v>23</v>
      </c>
      <c r="M9" s="30"/>
      <c r="N9" s="25" t="s">
        <v>16</v>
      </c>
      <c r="O9" s="23">
        <v>1</v>
      </c>
      <c r="P9" s="23">
        <v>8</v>
      </c>
      <c r="Q9" s="23">
        <v>15</v>
      </c>
      <c r="R9" s="23">
        <v>22</v>
      </c>
      <c r="S9" s="23">
        <v>29</v>
      </c>
      <c r="T9" s="30"/>
    </row>
    <row r="11" spans="2:20" ht="15.75" thickBot="1" x14ac:dyDescent="0.3"/>
    <row r="12" spans="2:20" ht="15.75" thickBot="1" x14ac:dyDescent="0.3">
      <c r="B12" s="26" t="s">
        <v>74</v>
      </c>
      <c r="C12" s="27" t="s">
        <v>126</v>
      </c>
      <c r="D12" s="27" t="s">
        <v>127</v>
      </c>
      <c r="E12" s="27" t="s">
        <v>128</v>
      </c>
      <c r="F12" s="27" t="s">
        <v>129</v>
      </c>
      <c r="G12" s="27" t="s">
        <v>130</v>
      </c>
      <c r="H12" s="26" t="s">
        <v>75</v>
      </c>
      <c r="I12" s="27" t="s">
        <v>130</v>
      </c>
      <c r="J12" s="27" t="s">
        <v>131</v>
      </c>
      <c r="K12" s="27" t="s">
        <v>132</v>
      </c>
      <c r="L12" s="27" t="s">
        <v>133</v>
      </c>
      <c r="M12" s="27" t="s">
        <v>134</v>
      </c>
      <c r="N12" s="26" t="s">
        <v>76</v>
      </c>
      <c r="O12" s="27" t="s">
        <v>135</v>
      </c>
      <c r="P12" s="27" t="s">
        <v>136</v>
      </c>
      <c r="Q12" s="27" t="s">
        <v>137</v>
      </c>
      <c r="R12" s="27" t="s">
        <v>138</v>
      </c>
      <c r="S12" s="27" t="s">
        <v>139</v>
      </c>
    </row>
    <row r="13" spans="2:20" ht="15.75" thickBot="1" x14ac:dyDescent="0.3">
      <c r="B13" s="28" t="s">
        <v>10</v>
      </c>
      <c r="C13" s="30"/>
      <c r="D13" s="23">
        <v>6</v>
      </c>
      <c r="E13" s="24">
        <v>13</v>
      </c>
      <c r="F13" s="23">
        <v>20</v>
      </c>
      <c r="G13" s="23">
        <v>27</v>
      </c>
      <c r="H13" s="28" t="s">
        <v>10</v>
      </c>
      <c r="I13" s="30"/>
      <c r="J13" s="23">
        <v>4</v>
      </c>
      <c r="K13" s="23">
        <v>11</v>
      </c>
      <c r="L13" s="23">
        <v>18</v>
      </c>
      <c r="M13" s="23">
        <v>25</v>
      </c>
      <c r="N13" s="28" t="s">
        <v>10</v>
      </c>
      <c r="O13" s="23">
        <v>1</v>
      </c>
      <c r="P13" s="23">
        <v>8</v>
      </c>
      <c r="Q13" s="23">
        <v>15</v>
      </c>
      <c r="R13" s="23">
        <v>22</v>
      </c>
      <c r="S13" s="23">
        <v>29</v>
      </c>
    </row>
    <row r="14" spans="2:20" ht="15.75" thickBot="1" x14ac:dyDescent="0.3">
      <c r="B14" s="28" t="s">
        <v>11</v>
      </c>
      <c r="C14" s="30"/>
      <c r="D14" s="23">
        <v>7</v>
      </c>
      <c r="E14" s="23">
        <v>14</v>
      </c>
      <c r="F14" s="23">
        <v>21</v>
      </c>
      <c r="G14" s="23">
        <v>28</v>
      </c>
      <c r="H14" s="28" t="s">
        <v>11</v>
      </c>
      <c r="I14" s="30"/>
      <c r="J14" s="23">
        <v>5</v>
      </c>
      <c r="K14" s="23">
        <v>12</v>
      </c>
      <c r="L14" s="23">
        <v>19</v>
      </c>
      <c r="M14" s="23">
        <v>26</v>
      </c>
      <c r="N14" s="28" t="s">
        <v>11</v>
      </c>
      <c r="O14" s="23">
        <v>2</v>
      </c>
      <c r="P14" s="23">
        <v>9</v>
      </c>
      <c r="Q14" s="23">
        <v>16</v>
      </c>
      <c r="R14" s="23">
        <v>23</v>
      </c>
      <c r="S14" s="23">
        <v>30</v>
      </c>
    </row>
    <row r="15" spans="2:20" ht="15.75" thickBot="1" x14ac:dyDescent="0.3">
      <c r="B15" s="28" t="s">
        <v>12</v>
      </c>
      <c r="C15" s="23">
        <v>1</v>
      </c>
      <c r="D15" s="23">
        <v>8</v>
      </c>
      <c r="E15" s="23">
        <v>15</v>
      </c>
      <c r="F15" s="23">
        <v>22</v>
      </c>
      <c r="G15" s="23">
        <v>29</v>
      </c>
      <c r="H15" s="28" t="s">
        <v>12</v>
      </c>
      <c r="I15" s="30"/>
      <c r="J15" s="23">
        <v>6</v>
      </c>
      <c r="K15" s="23">
        <v>13</v>
      </c>
      <c r="L15" s="23">
        <v>20</v>
      </c>
      <c r="M15" s="23">
        <v>27</v>
      </c>
      <c r="N15" s="28" t="s">
        <v>12</v>
      </c>
      <c r="O15" s="23">
        <v>3</v>
      </c>
      <c r="P15" s="23">
        <v>10</v>
      </c>
      <c r="Q15" s="23">
        <v>17</v>
      </c>
      <c r="R15" s="23">
        <v>24</v>
      </c>
      <c r="S15" s="30"/>
    </row>
    <row r="16" spans="2:20" ht="15.75" thickBot="1" x14ac:dyDescent="0.3">
      <c r="B16" s="28" t="s">
        <v>13</v>
      </c>
      <c r="C16" s="23">
        <v>2</v>
      </c>
      <c r="D16" s="23">
        <v>9</v>
      </c>
      <c r="E16" s="23">
        <v>16</v>
      </c>
      <c r="F16" s="23">
        <v>23</v>
      </c>
      <c r="G16" s="23">
        <v>30</v>
      </c>
      <c r="H16" s="28" t="s">
        <v>13</v>
      </c>
      <c r="I16" s="30"/>
      <c r="J16" s="23">
        <v>7</v>
      </c>
      <c r="K16" s="23">
        <v>14</v>
      </c>
      <c r="L16" s="23">
        <v>21</v>
      </c>
      <c r="M16" s="23">
        <v>28</v>
      </c>
      <c r="N16" s="28" t="s">
        <v>13</v>
      </c>
      <c r="O16" s="23">
        <v>4</v>
      </c>
      <c r="P16" s="23">
        <v>11</v>
      </c>
      <c r="Q16" s="23">
        <v>18</v>
      </c>
      <c r="R16" s="23">
        <v>25</v>
      </c>
      <c r="S16" s="30"/>
    </row>
    <row r="17" spans="2:20" ht="15.75" thickBot="1" x14ac:dyDescent="0.3">
      <c r="B17" s="28" t="s">
        <v>14</v>
      </c>
      <c r="C17" s="23">
        <v>3</v>
      </c>
      <c r="D17" s="24">
        <v>10</v>
      </c>
      <c r="E17" s="23">
        <v>17</v>
      </c>
      <c r="F17" s="23">
        <v>24</v>
      </c>
      <c r="G17" s="30"/>
      <c r="H17" s="28" t="s">
        <v>14</v>
      </c>
      <c r="I17" s="24">
        <v>1</v>
      </c>
      <c r="J17" s="24">
        <v>8</v>
      </c>
      <c r="K17" s="23">
        <v>15</v>
      </c>
      <c r="L17" s="23">
        <v>22</v>
      </c>
      <c r="M17" s="23">
        <v>29</v>
      </c>
      <c r="N17" s="28" t="s">
        <v>14</v>
      </c>
      <c r="O17" s="23">
        <v>5</v>
      </c>
      <c r="P17" s="23">
        <v>12</v>
      </c>
      <c r="Q17" s="23">
        <v>19</v>
      </c>
      <c r="R17" s="23">
        <v>26</v>
      </c>
      <c r="S17" s="30"/>
    </row>
    <row r="18" spans="2:20" ht="15.75" thickBot="1" x14ac:dyDescent="0.3">
      <c r="B18" s="29" t="s">
        <v>15</v>
      </c>
      <c r="C18" s="23">
        <v>4</v>
      </c>
      <c r="D18" s="23">
        <v>11</v>
      </c>
      <c r="E18" s="23">
        <v>18</v>
      </c>
      <c r="F18" s="23">
        <v>25</v>
      </c>
      <c r="G18" s="30"/>
      <c r="H18" s="29" t="s">
        <v>15</v>
      </c>
      <c r="I18" s="23">
        <v>2</v>
      </c>
      <c r="J18" s="23">
        <v>9</v>
      </c>
      <c r="K18" s="23">
        <v>16</v>
      </c>
      <c r="L18" s="23">
        <v>23</v>
      </c>
      <c r="M18" s="23">
        <v>30</v>
      </c>
      <c r="N18" s="29" t="s">
        <v>15</v>
      </c>
      <c r="O18" s="23">
        <v>6</v>
      </c>
      <c r="P18" s="23">
        <v>13</v>
      </c>
      <c r="Q18" s="23">
        <v>20</v>
      </c>
      <c r="R18" s="23">
        <v>27</v>
      </c>
      <c r="S18" s="30"/>
    </row>
    <row r="19" spans="2:20" ht="15.75" thickBot="1" x14ac:dyDescent="0.3">
      <c r="B19" s="25" t="s">
        <v>16</v>
      </c>
      <c r="C19" s="23">
        <v>5</v>
      </c>
      <c r="D19" s="23">
        <v>12</v>
      </c>
      <c r="E19" s="23">
        <v>19</v>
      </c>
      <c r="F19" s="23">
        <v>26</v>
      </c>
      <c r="G19" s="30"/>
      <c r="H19" s="25" t="s">
        <v>16</v>
      </c>
      <c r="I19" s="23">
        <v>3</v>
      </c>
      <c r="J19" s="23">
        <v>10</v>
      </c>
      <c r="K19" s="23">
        <v>17</v>
      </c>
      <c r="L19" s="23">
        <v>24</v>
      </c>
      <c r="M19" s="23">
        <v>31</v>
      </c>
      <c r="N19" s="25" t="s">
        <v>16</v>
      </c>
      <c r="O19" s="23">
        <v>7</v>
      </c>
      <c r="P19" s="23">
        <v>14</v>
      </c>
      <c r="Q19" s="23">
        <v>21</v>
      </c>
      <c r="R19" s="23">
        <v>28</v>
      </c>
      <c r="S19" s="30"/>
    </row>
    <row r="21" spans="2:20" ht="15.75" thickBot="1" x14ac:dyDescent="0.3"/>
    <row r="22" spans="2:20" ht="15.75" thickBot="1" x14ac:dyDescent="0.3">
      <c r="B22" s="26" t="s">
        <v>77</v>
      </c>
      <c r="C22" s="27" t="s">
        <v>139</v>
      </c>
      <c r="D22" s="27" t="s">
        <v>140</v>
      </c>
      <c r="E22" s="27" t="s">
        <v>141</v>
      </c>
      <c r="F22" s="27" t="s">
        <v>142</v>
      </c>
      <c r="G22" s="27" t="s">
        <v>144</v>
      </c>
      <c r="H22" s="26" t="s">
        <v>78</v>
      </c>
      <c r="I22" s="27" t="s">
        <v>144</v>
      </c>
      <c r="J22" s="27" t="s">
        <v>143</v>
      </c>
      <c r="K22" s="27" t="s">
        <v>145</v>
      </c>
      <c r="L22" s="27" t="s">
        <v>146</v>
      </c>
      <c r="M22" s="27" t="s">
        <v>147</v>
      </c>
      <c r="N22" s="27" t="s">
        <v>148</v>
      </c>
      <c r="O22" s="26" t="s">
        <v>79</v>
      </c>
      <c r="P22" s="27" t="s">
        <v>148</v>
      </c>
      <c r="Q22" s="27" t="s">
        <v>149</v>
      </c>
      <c r="R22" s="27" t="s">
        <v>150</v>
      </c>
      <c r="S22" s="27" t="s">
        <v>151</v>
      </c>
      <c r="T22" s="27" t="s">
        <v>152</v>
      </c>
    </row>
    <row r="23" spans="2:20" ht="15.75" thickBot="1" x14ac:dyDescent="0.3">
      <c r="B23" s="28" t="s">
        <v>10</v>
      </c>
      <c r="C23" s="30"/>
      <c r="D23" s="24">
        <v>6</v>
      </c>
      <c r="E23" s="23">
        <v>13</v>
      </c>
      <c r="F23" s="23">
        <v>20</v>
      </c>
      <c r="G23" s="23">
        <v>27</v>
      </c>
      <c r="H23" s="28" t="s">
        <v>10</v>
      </c>
      <c r="I23" s="30"/>
      <c r="J23" s="23">
        <v>3</v>
      </c>
      <c r="K23" s="23">
        <v>10</v>
      </c>
      <c r="L23" s="23">
        <v>17</v>
      </c>
      <c r="M23" s="23">
        <v>24</v>
      </c>
      <c r="N23" s="23">
        <v>31</v>
      </c>
      <c r="O23" s="28" t="s">
        <v>10</v>
      </c>
      <c r="P23" s="30"/>
      <c r="Q23" s="23">
        <v>7</v>
      </c>
      <c r="R23" s="23">
        <v>14</v>
      </c>
      <c r="S23" s="23">
        <v>21</v>
      </c>
      <c r="T23" s="24">
        <v>28</v>
      </c>
    </row>
    <row r="24" spans="2:20" ht="15.75" thickBot="1" x14ac:dyDescent="0.3">
      <c r="B24" s="28" t="s">
        <v>11</v>
      </c>
      <c r="C24" s="30"/>
      <c r="D24" s="23">
        <v>7</v>
      </c>
      <c r="E24" s="23">
        <v>14</v>
      </c>
      <c r="F24" s="23">
        <v>21</v>
      </c>
      <c r="G24" s="23">
        <v>28</v>
      </c>
      <c r="H24" s="28" t="s">
        <v>11</v>
      </c>
      <c r="I24" s="30"/>
      <c r="J24" s="23">
        <v>4</v>
      </c>
      <c r="K24" s="23">
        <v>11</v>
      </c>
      <c r="L24" s="23">
        <v>18</v>
      </c>
      <c r="M24" s="23">
        <v>25</v>
      </c>
      <c r="N24" s="30"/>
      <c r="O24" s="28" t="s">
        <v>11</v>
      </c>
      <c r="P24" s="23">
        <v>1</v>
      </c>
      <c r="Q24" s="23">
        <v>8</v>
      </c>
      <c r="R24" s="23">
        <v>15</v>
      </c>
      <c r="S24" s="23">
        <v>22</v>
      </c>
      <c r="T24" s="23">
        <v>29</v>
      </c>
    </row>
    <row r="25" spans="2:20" ht="15.75" thickBot="1" x14ac:dyDescent="0.3">
      <c r="B25" s="28" t="s">
        <v>12</v>
      </c>
      <c r="C25" s="23">
        <v>1</v>
      </c>
      <c r="D25" s="23">
        <v>8</v>
      </c>
      <c r="E25" s="23">
        <v>15</v>
      </c>
      <c r="F25" s="23">
        <v>22</v>
      </c>
      <c r="G25" s="23">
        <v>29</v>
      </c>
      <c r="H25" s="28" t="s">
        <v>12</v>
      </c>
      <c r="I25" s="30"/>
      <c r="J25" s="23">
        <v>5</v>
      </c>
      <c r="K25" s="23">
        <v>12</v>
      </c>
      <c r="L25" s="23">
        <v>19</v>
      </c>
      <c r="M25" s="23">
        <v>26</v>
      </c>
      <c r="N25" s="30"/>
      <c r="O25" s="28" t="s">
        <v>12</v>
      </c>
      <c r="P25" s="23">
        <v>2</v>
      </c>
      <c r="Q25" s="23">
        <v>9</v>
      </c>
      <c r="R25" s="23">
        <v>16</v>
      </c>
      <c r="S25" s="23">
        <v>23</v>
      </c>
      <c r="T25" s="23">
        <v>30</v>
      </c>
    </row>
    <row r="26" spans="2:20" ht="15.75" thickBot="1" x14ac:dyDescent="0.3">
      <c r="B26" s="28" t="s">
        <v>13</v>
      </c>
      <c r="C26" s="23">
        <v>2</v>
      </c>
      <c r="D26" s="23">
        <v>9</v>
      </c>
      <c r="E26" s="23">
        <v>16</v>
      </c>
      <c r="F26" s="23">
        <v>23</v>
      </c>
      <c r="G26" s="23">
        <v>30</v>
      </c>
      <c r="H26" s="28" t="s">
        <v>13</v>
      </c>
      <c r="I26" s="30"/>
      <c r="J26" s="23">
        <v>6</v>
      </c>
      <c r="K26" s="23">
        <v>13</v>
      </c>
      <c r="L26" s="23">
        <v>20</v>
      </c>
      <c r="M26" s="23">
        <v>27</v>
      </c>
      <c r="N26" s="30"/>
      <c r="O26" s="28" t="s">
        <v>13</v>
      </c>
      <c r="P26" s="23">
        <v>3</v>
      </c>
      <c r="Q26" s="23">
        <v>10</v>
      </c>
      <c r="R26" s="23">
        <v>17</v>
      </c>
      <c r="S26" s="23">
        <v>24</v>
      </c>
      <c r="T26" s="30"/>
    </row>
    <row r="27" spans="2:20" ht="15.75" thickBot="1" x14ac:dyDescent="0.3">
      <c r="B27" s="28" t="s">
        <v>14</v>
      </c>
      <c r="C27" s="23">
        <v>3</v>
      </c>
      <c r="D27" s="23">
        <v>10</v>
      </c>
      <c r="E27" s="23">
        <v>17</v>
      </c>
      <c r="F27" s="23">
        <v>24</v>
      </c>
      <c r="G27" s="23">
        <v>31</v>
      </c>
      <c r="H27" s="28" t="s">
        <v>14</v>
      </c>
      <c r="I27" s="30"/>
      <c r="J27" s="23">
        <v>7</v>
      </c>
      <c r="K27" s="23">
        <v>14</v>
      </c>
      <c r="L27" s="23">
        <v>21</v>
      </c>
      <c r="M27" s="23">
        <v>28</v>
      </c>
      <c r="N27" s="30"/>
      <c r="O27" s="28" t="s">
        <v>14</v>
      </c>
      <c r="P27" s="23">
        <v>4</v>
      </c>
      <c r="Q27" s="23">
        <v>11</v>
      </c>
      <c r="R27" s="23">
        <v>18</v>
      </c>
      <c r="S27" s="23">
        <v>25</v>
      </c>
      <c r="T27" s="30"/>
    </row>
    <row r="28" spans="2:20" ht="15.75" thickBot="1" x14ac:dyDescent="0.3">
      <c r="B28" s="29" t="s">
        <v>15</v>
      </c>
      <c r="C28" s="23">
        <v>4</v>
      </c>
      <c r="D28" s="23">
        <v>11</v>
      </c>
      <c r="E28" s="23">
        <v>18</v>
      </c>
      <c r="F28" s="23">
        <v>25</v>
      </c>
      <c r="G28" s="30"/>
      <c r="H28" s="29" t="s">
        <v>15</v>
      </c>
      <c r="I28" s="23">
        <v>1</v>
      </c>
      <c r="J28" s="23">
        <v>8</v>
      </c>
      <c r="K28" s="23">
        <v>15</v>
      </c>
      <c r="L28" s="23">
        <v>22</v>
      </c>
      <c r="M28" s="23">
        <v>29</v>
      </c>
      <c r="N28" s="30"/>
      <c r="O28" s="29" t="s">
        <v>15</v>
      </c>
      <c r="P28" s="23">
        <v>5</v>
      </c>
      <c r="Q28" s="23">
        <v>12</v>
      </c>
      <c r="R28" s="23">
        <v>19</v>
      </c>
      <c r="S28" s="23">
        <v>26</v>
      </c>
      <c r="T28" s="30"/>
    </row>
    <row r="29" spans="2:20" ht="15.75" thickBot="1" x14ac:dyDescent="0.3">
      <c r="B29" s="25" t="s">
        <v>16</v>
      </c>
      <c r="C29" s="24">
        <v>5</v>
      </c>
      <c r="D29" s="23">
        <v>12</v>
      </c>
      <c r="E29" s="23">
        <v>19</v>
      </c>
      <c r="F29" s="23">
        <v>26</v>
      </c>
      <c r="G29" s="30"/>
      <c r="H29" s="25" t="s">
        <v>16</v>
      </c>
      <c r="I29" s="23">
        <v>2</v>
      </c>
      <c r="J29" s="23">
        <v>9</v>
      </c>
      <c r="K29" s="23">
        <v>16</v>
      </c>
      <c r="L29" s="23">
        <v>23</v>
      </c>
      <c r="M29" s="23">
        <v>30</v>
      </c>
      <c r="N29" s="30"/>
      <c r="O29" s="25" t="s">
        <v>16</v>
      </c>
      <c r="P29" s="23">
        <v>6</v>
      </c>
      <c r="Q29" s="23">
        <v>13</v>
      </c>
      <c r="R29" s="23">
        <v>20</v>
      </c>
      <c r="S29" s="23">
        <v>27</v>
      </c>
      <c r="T29" s="30"/>
    </row>
    <row r="31" spans="2:20" ht="15.75" thickBot="1" x14ac:dyDescent="0.3"/>
    <row r="32" spans="2:20" ht="15.75" thickBot="1" x14ac:dyDescent="0.3">
      <c r="B32" s="26" t="s">
        <v>80</v>
      </c>
      <c r="C32" s="27" t="s">
        <v>152</v>
      </c>
      <c r="D32" s="27" t="s">
        <v>153</v>
      </c>
      <c r="E32" s="27" t="s">
        <v>154</v>
      </c>
      <c r="F32" s="27" t="s">
        <v>155</v>
      </c>
      <c r="G32" s="27" t="s">
        <v>156</v>
      </c>
      <c r="H32" s="26" t="s">
        <v>81</v>
      </c>
      <c r="I32" s="27" t="s">
        <v>156</v>
      </c>
      <c r="J32" s="27" t="s">
        <v>157</v>
      </c>
      <c r="K32" s="27" t="s">
        <v>158</v>
      </c>
      <c r="L32" s="27" t="s">
        <v>159</v>
      </c>
      <c r="M32" s="27" t="s">
        <v>160</v>
      </c>
      <c r="N32" s="27" t="s">
        <v>161</v>
      </c>
      <c r="O32" s="26" t="s">
        <v>82</v>
      </c>
      <c r="P32" s="27" t="s">
        <v>161</v>
      </c>
      <c r="Q32" s="27" t="s">
        <v>162</v>
      </c>
      <c r="R32" s="27" t="s">
        <v>163</v>
      </c>
      <c r="S32" s="27" t="s">
        <v>164</v>
      </c>
      <c r="T32" s="27" t="s">
        <v>165</v>
      </c>
    </row>
    <row r="33" spans="2:20" ht="15.75" thickBot="1" x14ac:dyDescent="0.3">
      <c r="B33" s="28" t="s">
        <v>10</v>
      </c>
      <c r="C33" s="30"/>
      <c r="D33" s="23">
        <v>5</v>
      </c>
      <c r="E33" s="23">
        <v>12</v>
      </c>
      <c r="F33" s="23">
        <v>19</v>
      </c>
      <c r="G33" s="23">
        <v>26</v>
      </c>
      <c r="H33" s="28" t="s">
        <v>10</v>
      </c>
      <c r="I33" s="30"/>
      <c r="J33" s="23">
        <v>2</v>
      </c>
      <c r="K33" s="23">
        <v>9</v>
      </c>
      <c r="L33" s="23">
        <v>16</v>
      </c>
      <c r="M33" s="23">
        <v>23</v>
      </c>
      <c r="N33" s="23">
        <v>30</v>
      </c>
      <c r="O33" s="28" t="s">
        <v>10</v>
      </c>
      <c r="P33" s="30"/>
      <c r="Q33" s="23">
        <v>7</v>
      </c>
      <c r="R33" s="23">
        <v>14</v>
      </c>
      <c r="S33" s="23">
        <v>21</v>
      </c>
      <c r="T33" s="23">
        <v>28</v>
      </c>
    </row>
    <row r="34" spans="2:20" ht="15.75" thickBot="1" x14ac:dyDescent="0.3">
      <c r="B34" s="28" t="s">
        <v>11</v>
      </c>
      <c r="C34" s="30"/>
      <c r="D34" s="23">
        <v>6</v>
      </c>
      <c r="E34" s="23">
        <v>13</v>
      </c>
      <c r="F34" s="23">
        <v>20</v>
      </c>
      <c r="G34" s="23">
        <v>27</v>
      </c>
      <c r="H34" s="28" t="s">
        <v>11</v>
      </c>
      <c r="I34" s="30"/>
      <c r="J34" s="23">
        <v>3</v>
      </c>
      <c r="K34" s="23">
        <v>10</v>
      </c>
      <c r="L34" s="24">
        <v>17</v>
      </c>
      <c r="M34" s="23">
        <v>24</v>
      </c>
      <c r="N34" s="30"/>
      <c r="O34" s="28" t="s">
        <v>11</v>
      </c>
      <c r="P34" s="23">
        <v>1</v>
      </c>
      <c r="Q34" s="23">
        <v>8</v>
      </c>
      <c r="R34" s="23">
        <v>15</v>
      </c>
      <c r="S34" s="23">
        <v>22</v>
      </c>
      <c r="T34" s="23">
        <v>29</v>
      </c>
    </row>
    <row r="35" spans="2:20" ht="15.75" thickBot="1" x14ac:dyDescent="0.3">
      <c r="B35" s="28" t="s">
        <v>12</v>
      </c>
      <c r="C35" s="30"/>
      <c r="D35" s="23">
        <v>7</v>
      </c>
      <c r="E35" s="23">
        <v>14</v>
      </c>
      <c r="F35" s="23">
        <v>21</v>
      </c>
      <c r="G35" s="24">
        <v>28</v>
      </c>
      <c r="H35" s="28" t="s">
        <v>12</v>
      </c>
      <c r="I35" s="30"/>
      <c r="J35" s="23">
        <v>4</v>
      </c>
      <c r="K35" s="23">
        <v>11</v>
      </c>
      <c r="L35" s="23">
        <v>18</v>
      </c>
      <c r="M35" s="23">
        <v>25</v>
      </c>
      <c r="N35" s="30"/>
      <c r="O35" s="28" t="s">
        <v>12</v>
      </c>
      <c r="P35" s="23">
        <v>2</v>
      </c>
      <c r="Q35" s="23">
        <v>9</v>
      </c>
      <c r="R35" s="23">
        <v>16</v>
      </c>
      <c r="S35" s="23">
        <v>23</v>
      </c>
      <c r="T35" s="23">
        <v>30</v>
      </c>
    </row>
    <row r="36" spans="2:20" ht="15.75" thickBot="1" x14ac:dyDescent="0.3">
      <c r="B36" s="28" t="s">
        <v>13</v>
      </c>
      <c r="C36" s="23">
        <v>1</v>
      </c>
      <c r="D36" s="23">
        <v>8</v>
      </c>
      <c r="E36" s="23">
        <v>15</v>
      </c>
      <c r="F36" s="23">
        <v>22</v>
      </c>
      <c r="G36" s="23">
        <v>29</v>
      </c>
      <c r="H36" s="28" t="s">
        <v>13</v>
      </c>
      <c r="I36" s="30"/>
      <c r="J36" s="23">
        <v>5</v>
      </c>
      <c r="K36" s="23">
        <v>12</v>
      </c>
      <c r="L36" s="23">
        <v>19</v>
      </c>
      <c r="M36" s="23">
        <v>26</v>
      </c>
      <c r="N36" s="30"/>
      <c r="O36" s="28" t="s">
        <v>13</v>
      </c>
      <c r="P36" s="23">
        <v>3</v>
      </c>
      <c r="Q36" s="23">
        <v>10</v>
      </c>
      <c r="R36" s="23">
        <v>17</v>
      </c>
      <c r="S36" s="24">
        <v>24</v>
      </c>
      <c r="T36" s="23">
        <v>31</v>
      </c>
    </row>
    <row r="37" spans="2:20" ht="15.75" thickBot="1" x14ac:dyDescent="0.3">
      <c r="B37" s="28" t="s">
        <v>14</v>
      </c>
      <c r="C37" s="23">
        <v>2</v>
      </c>
      <c r="D37" s="23">
        <v>9</v>
      </c>
      <c r="E37" s="23">
        <v>16</v>
      </c>
      <c r="F37" s="23">
        <v>23</v>
      </c>
      <c r="G37" s="23">
        <v>30</v>
      </c>
      <c r="H37" s="28" t="s">
        <v>14</v>
      </c>
      <c r="I37" s="30"/>
      <c r="J37" s="23">
        <v>6</v>
      </c>
      <c r="K37" s="23">
        <v>13</v>
      </c>
      <c r="L37" s="23">
        <v>20</v>
      </c>
      <c r="M37" s="23">
        <v>27</v>
      </c>
      <c r="N37" s="30"/>
      <c r="O37" s="28" t="s">
        <v>14</v>
      </c>
      <c r="P37" s="23">
        <v>4</v>
      </c>
      <c r="Q37" s="23">
        <v>11</v>
      </c>
      <c r="R37" s="23">
        <v>18</v>
      </c>
      <c r="S37" s="24">
        <v>25</v>
      </c>
      <c r="T37" s="30"/>
    </row>
    <row r="38" spans="2:20" ht="15.75" thickBot="1" x14ac:dyDescent="0.3">
      <c r="B38" s="29" t="s">
        <v>15</v>
      </c>
      <c r="C38" s="23">
        <v>3</v>
      </c>
      <c r="D38" s="23">
        <v>10</v>
      </c>
      <c r="E38" s="23">
        <v>17</v>
      </c>
      <c r="F38" s="23">
        <v>24</v>
      </c>
      <c r="G38" s="23">
        <v>31</v>
      </c>
      <c r="H38" s="29" t="s">
        <v>15</v>
      </c>
      <c r="I38" s="30"/>
      <c r="J38" s="23">
        <v>7</v>
      </c>
      <c r="K38" s="23">
        <v>14</v>
      </c>
      <c r="L38" s="23">
        <v>21</v>
      </c>
      <c r="M38" s="23">
        <v>28</v>
      </c>
      <c r="N38" s="30"/>
      <c r="O38" s="29" t="s">
        <v>15</v>
      </c>
      <c r="P38" s="23">
        <v>5</v>
      </c>
      <c r="Q38" s="23">
        <v>12</v>
      </c>
      <c r="R38" s="23">
        <v>19</v>
      </c>
      <c r="S38" s="24">
        <v>26</v>
      </c>
      <c r="T38" s="30"/>
    </row>
    <row r="39" spans="2:20" ht="15.75" thickBot="1" x14ac:dyDescent="0.3">
      <c r="B39" s="25" t="s">
        <v>16</v>
      </c>
      <c r="C39" s="23">
        <v>4</v>
      </c>
      <c r="D39" s="23">
        <v>11</v>
      </c>
      <c r="E39" s="23">
        <v>18</v>
      </c>
      <c r="F39" s="23">
        <v>25</v>
      </c>
      <c r="G39" s="30"/>
      <c r="H39" s="25" t="s">
        <v>16</v>
      </c>
      <c r="I39" s="23">
        <v>1</v>
      </c>
      <c r="J39" s="23">
        <v>8</v>
      </c>
      <c r="K39" s="23">
        <v>15</v>
      </c>
      <c r="L39" s="23">
        <v>22</v>
      </c>
      <c r="M39" s="23">
        <v>29</v>
      </c>
      <c r="N39" s="30"/>
      <c r="O39" s="25" t="s">
        <v>16</v>
      </c>
      <c r="P39" s="23">
        <v>6</v>
      </c>
      <c r="Q39" s="23">
        <v>13</v>
      </c>
      <c r="R39" s="23">
        <v>20</v>
      </c>
      <c r="S39" s="23">
        <v>27</v>
      </c>
      <c r="T39" s="30"/>
    </row>
  </sheetData>
  <sheetProtection algorithmName="SHA-512" hashValue="6dNs7Uhkn+ApeCDuX6i/Nqpfa+7tUkOt1XQi4j6BclYo7zdMpkcpiv9WannYoFehH/6I1pzaoMpj+laMYQIvUA==" saltValue="rWqABfVlIbhaPGazzPJlqA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selection activeCell="K12" sqref="K12"/>
    </sheetView>
  </sheetViews>
  <sheetFormatPr defaultRowHeight="15" x14ac:dyDescent="0.25"/>
  <cols>
    <col min="1" max="1" width="57.5703125" customWidth="1"/>
    <col min="3" max="3" width="29.5703125" customWidth="1"/>
    <col min="6" max="6" width="12.140625" bestFit="1" customWidth="1"/>
    <col min="8" max="8" width="11.85546875" bestFit="1" customWidth="1"/>
    <col min="14" max="14" width="24" bestFit="1" customWidth="1"/>
  </cols>
  <sheetData>
    <row r="1" spans="1:16" x14ac:dyDescent="0.25">
      <c r="A1" t="s">
        <v>1</v>
      </c>
      <c r="B1" s="22">
        <v>7.5</v>
      </c>
      <c r="C1" s="22" t="s">
        <v>115</v>
      </c>
      <c r="D1" s="5">
        <v>0</v>
      </c>
      <c r="E1" t="s">
        <v>17</v>
      </c>
      <c r="F1" s="33">
        <f>IF(Docházka!G3="Ranní",1,0)+IF(Docházka!G4="Ranní",1,0)+IF(Docházka!G5="Ranní",1,0)+IF(Docházka!G6="Ranní",1,0)+IF(Docházka!G7="Ranní",1,0)+IF(Docházka!H3="Ranní",1,0)+IF(Docházka!H4="Ranní",1,0)+IF(Docházka!H5="Ranní",1,0)+IF(Docházka!H6="Ranní",1,0)+IF(Docházka!H7="Ranní",1,0)+IF(Docházka!I3="Ranní",1,0)+IF(Docházka!I4="Ranní",1,0)+IF(Docházka!I5="Ranní",1,0)+IF(Docházka!I6="Ranní",1,0)+IF(Docházka!I7="Ranní",1,0)+IF(Docházka!J3="Ranní",1,0)+IF(Docházka!J4="Ranní",1,0)+IF(Docházka!J5="Ranní",1,0)+IF(Docházka!J6="Ranní",1,0)+IF(Docházka!J7="Ranní",1,0)+IF(Docházka!K3="Ranní",1,0)+IF(Docházka!K4="Ranní",1,0)+IF(Docházka!K5="Ranní",1,0)+IF(Docházka!K6="Ranní",1,0)+IF(Docházka!K7="Ranní",1,0)+IF(Docházka!L3="Ranní",1,0)+IF(Docházka!L4="Ranní",1,0)+IF(Docházka!L5="Ranní",1,0)+IF(Docházka!L6="Ranní",1,0)+IF(Docházka!L7="Ranní",1,0)</f>
        <v>0</v>
      </c>
      <c r="G1" s="5">
        <f>$H$52*($F$48+$D$1)</f>
        <v>0</v>
      </c>
      <c r="H1" s="5">
        <f>F1*G1</f>
        <v>0</v>
      </c>
      <c r="I1" s="33">
        <f>F1</f>
        <v>0</v>
      </c>
      <c r="J1" s="5">
        <f>$H$53*($F$48+$D$1)</f>
        <v>1162.5</v>
      </c>
      <c r="K1" s="5">
        <f>I1*J1</f>
        <v>0</v>
      </c>
      <c r="L1" s="5"/>
      <c r="M1" s="5"/>
      <c r="N1" t="s">
        <v>1</v>
      </c>
      <c r="O1" s="33"/>
      <c r="P1" s="2"/>
    </row>
    <row r="2" spans="1:16" x14ac:dyDescent="0.25">
      <c r="A2" t="s">
        <v>2</v>
      </c>
      <c r="B2" s="22">
        <v>3.5</v>
      </c>
      <c r="C2" s="22" t="s">
        <v>116</v>
      </c>
      <c r="D2" s="5">
        <v>8</v>
      </c>
      <c r="E2" t="s">
        <v>18</v>
      </c>
      <c r="F2" s="33">
        <f>IF(Docházka!G3="Odpolední",1,0)+IF(Docházka!G4="Odpolední",1,0)+IF(Docházka!G5="Odpolední",1,0)+IF(Docházka!G6="Odpolední",1,0)+IF(Docházka!G7="Odpolední",1,0)+IF(Docházka!H3="Odpolední",1,0)+IF(Docházka!H4="Odpolední",1,0)+IF(Docházka!H5="Odpolední",1,0)+IF(Docházka!H6="Odpolední",1,0)+IF(Docházka!H7="Odpolední",1,0)+IF(Docházka!I3="Odpolední",1,0)+IF(Docházka!I4="Odpolední",1,0)+IF(Docházka!I5="Odpolední",1,0)+IF(Docházka!I6="Odpolední",1,0)+IF(Docházka!I7="Odpolední",1,0)+IF(Docházka!J3="Odpolední",1,0)+IF(Docházka!J4="Odpolední",1,0)+IF(Docházka!J5="Odpolední",1,0)+IF(Docházka!J6="Odpolední",1,0)+IF(Docházka!J7="Odpolední",1,0)+IF(Docházka!K3="Odpolední",1,0)+IF(Docházka!K4="Odpolední",1,0)+IF(Docházka!K5="Odpolední",1,0)+IF(Docházka!K6="Odpolední",1,0)+IF(Docházka!K7="Odpolední",1,0)+IF(Docházka!L3="Odpolední",1,0)+IF(Docházka!L4="Odpolední",1,0)+IF(Docházka!L5="Odpolední",1,0)+IF(Docházka!L6="Odpolední",1,0)+IF(Docházka!L7="Odpolední",1,0)</f>
        <v>0</v>
      </c>
      <c r="G2" s="5">
        <f>$H$52*($F$48+$D$2)</f>
        <v>0</v>
      </c>
      <c r="H2" s="5">
        <f t="shared" ref="H2:H40" si="0">F2*G2</f>
        <v>0</v>
      </c>
      <c r="I2" s="33">
        <f>IF(I1&gt;0,I1,0)+IF(I3&gt;0,I3,0)</f>
        <v>0</v>
      </c>
      <c r="J2" s="5">
        <f>$J$53*($F$48+$D$2)</f>
        <v>570.5</v>
      </c>
      <c r="K2" s="5">
        <f t="shared" ref="K2:K40" si="1">I2*J2</f>
        <v>0</v>
      </c>
      <c r="L2" s="5"/>
      <c r="M2" s="5"/>
      <c r="N2" t="s">
        <v>2</v>
      </c>
      <c r="O2" s="33"/>
      <c r="P2" s="2"/>
    </row>
    <row r="3" spans="1:16" x14ac:dyDescent="0.25">
      <c r="A3" t="s">
        <v>3</v>
      </c>
      <c r="B3" s="22">
        <v>7.5</v>
      </c>
      <c r="C3" s="22" t="s">
        <v>117</v>
      </c>
      <c r="D3" s="5">
        <v>30</v>
      </c>
      <c r="E3" t="s">
        <v>19</v>
      </c>
      <c r="F3" s="33">
        <f>IF(Docházka!G3="Noční",1,0)+IF(Docházka!G4="Noční",1,0)+IF(Docházka!G5="Noční",1,0)+IF(Docházka!G6="Noční",1,0)+IF(Docházka!G7="Noční",1,0)+IF(Docházka!H3="Noční",1,0)+IF(Docházka!H4="Noční",1,0)+IF(Docházka!H5="Noční",1,0)+IF(Docházka!H6="Noční",1,0)+IF(Docházka!H7="Noční",1,0)+IF(Docházka!I3="Noční",1,0)+IF(Docházka!I4="Noční",1,0)+IF(Docházka!I5="Noční",1,0)+IF(Docházka!I6="Noční",1,0)+IF(Docházka!I7="Noční",1,0)+IF(Docházka!J3="Noční",1,0)+IF(Docházka!J4="Noční",1,0)+IF(Docházka!J5="Noční",1,0)+IF(Docházka!J6="Noční",1,0)+IF(Docházka!J7="Noční",1,0)+IF(Docházka!K3="Noční",1,0)+IF(Docházka!K4="Noční",1,0)+IF(Docházka!K5="Noční",1,0)+IF(Docházka!K6="Noční",1,0)+IF(Docházka!K7="Noční",1,0)+IF(Docházka!L3="Noční",1,0)+IF(Docházka!L4="Noční",1,0)+IF(Docházka!L5="Noční",1,0)+IF(Docházka!L6="Noční",1,0)+IF(Docházka!L7="Noční",1,0)</f>
        <v>0</v>
      </c>
      <c r="G3" s="5">
        <f>$H$52*($F$48+$D$3)</f>
        <v>0</v>
      </c>
      <c r="H3" s="5">
        <f t="shared" si="0"/>
        <v>0</v>
      </c>
      <c r="I3" s="33">
        <f>F3</f>
        <v>0</v>
      </c>
      <c r="J3" s="5">
        <f>$H$53*($F$48+$D$3)</f>
        <v>1387.5</v>
      </c>
      <c r="K3" s="5">
        <f t="shared" si="1"/>
        <v>0</v>
      </c>
      <c r="L3" s="5"/>
      <c r="M3" s="5"/>
      <c r="N3" t="s">
        <v>3</v>
      </c>
      <c r="O3" s="33"/>
      <c r="P3" s="2"/>
    </row>
    <row r="4" spans="1:16" x14ac:dyDescent="0.25">
      <c r="A4" t="s">
        <v>88</v>
      </c>
      <c r="B4" s="22">
        <v>7.5</v>
      </c>
      <c r="C4" s="31">
        <v>0.25</v>
      </c>
      <c r="D4" s="5"/>
      <c r="E4" t="s">
        <v>17</v>
      </c>
      <c r="F4" s="2">
        <f>IF(Docházka!G8="Ranní",1,0)+IF(Docházka!H8="Ranní",1,0)+IF(Docházka!I8="Ranní",1,0)+IF(Docházka!J8="Ranní",1,0)+IF(Docházka!K8="Ranní",1,0)+IF(Docházka!L8="Ranní",1,0)</f>
        <v>0</v>
      </c>
      <c r="G4" s="5">
        <f>$H$52*($F$48+$D$1)*1.25</f>
        <v>0</v>
      </c>
      <c r="H4" s="5">
        <f t="shared" si="0"/>
        <v>0</v>
      </c>
      <c r="I4" s="33">
        <f t="shared" ref="I4" si="2">F4</f>
        <v>0</v>
      </c>
      <c r="J4" s="5">
        <f>$H$53*($F$48+$D$1)*1.25</f>
        <v>1453.125</v>
      </c>
      <c r="K4" s="5">
        <f t="shared" si="1"/>
        <v>0</v>
      </c>
      <c r="L4" s="5"/>
      <c r="M4" s="5"/>
      <c r="N4" t="s">
        <v>7</v>
      </c>
      <c r="O4" s="18"/>
    </row>
    <row r="5" spans="1:16" x14ac:dyDescent="0.25">
      <c r="A5" t="s">
        <v>89</v>
      </c>
      <c r="B5" s="22">
        <v>3.5</v>
      </c>
      <c r="C5" s="31">
        <v>0.25</v>
      </c>
      <c r="D5" s="5"/>
      <c r="E5" t="s">
        <v>18</v>
      </c>
      <c r="F5" s="2">
        <f>IF(Docházka!G8="Odpolední",1,0)+IF(Docházka!H8="Odpolední",1,0)+IF(Docházka!I8="Odpolední",1,0)+IF(Docházka!J8="Odpolední",1,0)+IF(Docházka!K8="Odpolední",1,0)+IF(Docházka!L8="Odpolední",1,0)</f>
        <v>0</v>
      </c>
      <c r="G5" s="5">
        <f>$H$52*($F$48+$D$2)*1.25</f>
        <v>0</v>
      </c>
      <c r="H5" s="5">
        <f t="shared" si="0"/>
        <v>0</v>
      </c>
      <c r="I5" s="33">
        <f t="shared" ref="I5" si="3">IF(I4&gt;0,I4,0)+IF(I6&gt;0,I6,0)</f>
        <v>0</v>
      </c>
      <c r="J5" s="5">
        <f>$J$53*($F$48+$D$2)*1.25</f>
        <v>713.125</v>
      </c>
      <c r="K5" s="5">
        <f t="shared" si="1"/>
        <v>0</v>
      </c>
      <c r="L5" s="5"/>
      <c r="M5" s="5"/>
      <c r="N5" t="s">
        <v>8</v>
      </c>
      <c r="O5" s="18"/>
    </row>
    <row r="6" spans="1:16" x14ac:dyDescent="0.25">
      <c r="A6" t="s">
        <v>90</v>
      </c>
      <c r="B6" s="22">
        <v>7.5</v>
      </c>
      <c r="C6" s="31">
        <v>0.25</v>
      </c>
      <c r="D6" s="5"/>
      <c r="E6" t="s">
        <v>19</v>
      </c>
      <c r="F6" s="2">
        <f>IF(Docházka!G8="Noční",1,0)+IF(Docházka!H8="Noční",1,0)+IF(Docházka!I8="Noční",1,0)+IF(Docházka!J8="Noční",1,0)+IF(Docházka!K8="Noční",1,0)+IF(Docházka!L8="Noční",1,0)</f>
        <v>0</v>
      </c>
      <c r="G6" s="5">
        <f>$H$52*($F$48+$D$3)*1.25</f>
        <v>0</v>
      </c>
      <c r="H6" s="5">
        <f t="shared" si="0"/>
        <v>0</v>
      </c>
      <c r="I6" s="33">
        <f t="shared" ref="I6:I7" si="4">F6</f>
        <v>0</v>
      </c>
      <c r="J6" s="5">
        <f>$H$53*($F$48+$D$3)*1.25</f>
        <v>1734.375</v>
      </c>
      <c r="K6" s="5">
        <f t="shared" si="1"/>
        <v>0</v>
      </c>
      <c r="L6" s="5"/>
      <c r="M6" s="5"/>
      <c r="N6" t="s">
        <v>94</v>
      </c>
      <c r="O6" s="18"/>
    </row>
    <row r="7" spans="1:16" x14ac:dyDescent="0.25">
      <c r="A7" t="s">
        <v>91</v>
      </c>
      <c r="B7" s="22">
        <v>7.5</v>
      </c>
      <c r="C7" s="31">
        <v>0.25</v>
      </c>
      <c r="D7" s="5"/>
      <c r="E7" t="s">
        <v>17</v>
      </c>
      <c r="F7" s="2">
        <f>IF(Docházka!G9="Ranní",1,0)+IF(Docházka!H9="Ranní",1,0)+IF(Docházka!I9="Ranní",1,0)+IF(Docházka!J9="Ranní",1,0)+IF(Docházka!K9="Ranní",1,0)+IF(Docházka!L9="Ranní",1,0)</f>
        <v>0</v>
      </c>
      <c r="G7" s="5">
        <f>$H$52*($F$48+$D$1)*1.25</f>
        <v>0</v>
      </c>
      <c r="H7" s="5">
        <f t="shared" si="0"/>
        <v>0</v>
      </c>
      <c r="I7" s="33">
        <f t="shared" si="4"/>
        <v>0</v>
      </c>
      <c r="J7" s="5">
        <f>$H$53*($F$48+$D$1)*1.25</f>
        <v>1453.125</v>
      </c>
      <c r="K7" s="5">
        <f t="shared" si="1"/>
        <v>0</v>
      </c>
      <c r="L7" s="5"/>
      <c r="M7" s="5"/>
      <c r="N7" t="s">
        <v>95</v>
      </c>
      <c r="O7" s="18"/>
    </row>
    <row r="8" spans="1:16" x14ac:dyDescent="0.25">
      <c r="A8" t="s">
        <v>92</v>
      </c>
      <c r="B8" s="22">
        <v>3.5</v>
      </c>
      <c r="C8" s="31">
        <v>0.25</v>
      </c>
      <c r="D8" s="5"/>
      <c r="E8" t="s">
        <v>18</v>
      </c>
      <c r="F8" s="2">
        <f>IF(Docházka!G9="Odpolední",1,0)+IF(Docházka!H9="Odpolední",1,0)+IF(Docházka!I9="Odpolední",1,0)+IF(Docházka!J9="Odpolední",1,0)+IF(Docházka!K9="Odpolední",1,0)+IF(Docházka!L9="Odpolední",1,0)</f>
        <v>0</v>
      </c>
      <c r="G8" s="5">
        <f>$H$52*($F$48+$D$2)*1.25</f>
        <v>0</v>
      </c>
      <c r="H8" s="5">
        <f t="shared" si="0"/>
        <v>0</v>
      </c>
      <c r="I8" s="33">
        <f t="shared" ref="I8" si="5">IF(I7&gt;0,I7,0)+IF(I9&gt;0,I9,0)</f>
        <v>0</v>
      </c>
      <c r="J8" s="5">
        <f>$J$53*($F$48+$D$2)*1.25</f>
        <v>713.125</v>
      </c>
      <c r="K8" s="5">
        <f t="shared" si="1"/>
        <v>0</v>
      </c>
      <c r="L8" s="5"/>
      <c r="M8" s="5"/>
      <c r="N8" t="s">
        <v>65</v>
      </c>
      <c r="O8" s="33"/>
      <c r="P8" s="2"/>
    </row>
    <row r="9" spans="1:16" x14ac:dyDescent="0.25">
      <c r="A9" t="s">
        <v>93</v>
      </c>
      <c r="B9" s="22">
        <v>7.5</v>
      </c>
      <c r="C9" s="31">
        <v>0.25</v>
      </c>
      <c r="D9" s="5"/>
      <c r="E9" t="s">
        <v>19</v>
      </c>
      <c r="F9" s="2">
        <f>IF(Docházka!G9="Noční",1,0)+IF(Docházka!H9="Noční",1,0)+IF(Docházka!I9="Noční",1,0)+IF(Docházka!J9="Noční",1,0)+IF(Docházka!K9="Noční",1,0)+IF(Docházka!L9="Noční",1,0)</f>
        <v>0</v>
      </c>
      <c r="G9" s="5">
        <f>$H$52*($F$48+$D$3)*1.25</f>
        <v>0</v>
      </c>
      <c r="H9" s="5">
        <f t="shared" si="0"/>
        <v>0</v>
      </c>
      <c r="I9" s="33">
        <f t="shared" ref="I9" si="6">F9</f>
        <v>0</v>
      </c>
      <c r="J9" s="5">
        <f>$H$53*($F$48+$D$3)*1.25</f>
        <v>1734.375</v>
      </c>
      <c r="K9" s="5">
        <f t="shared" si="1"/>
        <v>0</v>
      </c>
      <c r="L9" s="5"/>
      <c r="M9" s="5"/>
      <c r="N9" t="s">
        <v>66</v>
      </c>
      <c r="O9" s="33"/>
      <c r="P9" s="2"/>
    </row>
    <row r="10" spans="1:16" x14ac:dyDescent="0.25">
      <c r="A10" t="s">
        <v>7</v>
      </c>
      <c r="B10" s="22">
        <v>11</v>
      </c>
      <c r="C10" s="22" t="s">
        <v>112</v>
      </c>
      <c r="D10" s="5"/>
      <c r="E10" t="s">
        <v>167</v>
      </c>
      <c r="F10" s="18">
        <f>IF(Docházka!G3="Svátek",1,0)+IF(Docházka!G4="Svátek",1,0)+IF(Docházka!G5="Svátek",1,0)+IF(Docházka!G6="Svátek",1,0)+IF(Docházka!G7="Svátek",1,0)+IF(Docházka!H3="Svátek",1,0)+IF(Docházka!H4="Svátek",1,0)+IF(Docházka!H5="Svátek",1,0)+IF(Docházka!H6="Svátek",1,0)+IF(Docházka!H7="Svátek",1,0)+IF(Docházka!I3="Svátek",1,0)+IF(Docházka!I4="Svátek",1,0)+IF(Docházka!I5="Svátek",1,0)+IF(Docházka!I6="Svátek",1,0)+IF(Docházka!I7="Svátek",1,0)+IF(Docházka!J3="Svátek",1,0)+IF(Docházka!J4="Svátek",1,0)+IF(Docházka!J5="Svátek",1,0)+IF(Docházka!J6="Svátek",1,0)+IF(Docházka!J7="Svátek",1,0)+IF(Docházka!K3="Svátek",1,0)+IF(Docházka!K4="Svátek",1,0)+IF(Docházka!K5="Svátek",1,0)+IF(Docházka!K6="Svátek",1,0)+IF(Docházka!K7="Svátek",1,0)+IF(Docházka!L3="Svátek",1,0)+IF(Docházka!L4="Svátek",1,0)+IF(Docházka!L5="Svátek",1,0)+IF(Docházka!L6="Svátek",1,0)+IF(Docházka!L7="Svátek",1,0)+IF(Docházka!G8="Svátek",1,0)+IF(Docházka!G9="Svátek",1,0)+IF(Docházka!H8="Svátek",1,0)+IF(Docházka!H9="Svátek",1,0)+IF(Docházka!I8="Svátek",1,0)+IF(Docházka!I9="Svátek",1,0)+IF(Docházka!J8="Svátek",1,0)+IF(Docházka!J9="Svátek",1,0)+IF(Docházka!K8="Svátek",1,0)+IF(Docházka!K9="Svátek",1,0)+IF(Docházka!L8="Svátek",1,0)+IF(Docházka!L9="Svátek",1,0)</f>
        <v>0</v>
      </c>
      <c r="G10" s="5">
        <f>$H$52*$F$55</f>
        <v>0</v>
      </c>
      <c r="H10" s="5">
        <f t="shared" si="0"/>
        <v>0</v>
      </c>
      <c r="I10" s="18">
        <f>F10</f>
        <v>0</v>
      </c>
      <c r="J10" s="5">
        <f>$J$52*$F$55</f>
        <v>1705</v>
      </c>
      <c r="K10" s="5">
        <f t="shared" si="1"/>
        <v>0</v>
      </c>
      <c r="L10" s="5"/>
      <c r="M10" s="5"/>
      <c r="N10" t="s">
        <v>67</v>
      </c>
      <c r="O10" s="33"/>
      <c r="P10" s="2"/>
    </row>
    <row r="11" spans="1:16" x14ac:dyDescent="0.25">
      <c r="A11" t="s">
        <v>8</v>
      </c>
      <c r="B11" s="22">
        <v>11</v>
      </c>
      <c r="C11" s="22" t="s">
        <v>112</v>
      </c>
      <c r="D11" s="5"/>
      <c r="E11" t="s">
        <v>174</v>
      </c>
      <c r="F11" s="18">
        <f>IF(Docházka!G3="Dovolená",1,0)+IF(Docházka!G4="Dovolená",1,0)+IF(Docházka!G5="Dovolená",1,0)+IF(Docházka!G6="Dovolená",1,0)+IF(Docházka!G7="Dovolená",1,0)+IF(Docházka!H3="Dovolená",1,0)+IF(Docházka!H4="Dovolená",1,0)+IF(Docházka!H5="Dovolená",1,0)+IF(Docházka!H6="Dovolená",1,0)+IF(Docházka!H7="Dovolená",1,0)+IF(Docházka!I3="Dovolená",1,0)+IF(Docházka!I4="Dovolená",1,0)+IF(Docházka!I5="Dovolená",1,0)+IF(Docházka!I6="Dovolená",1,0)+IF(Docházka!I7="Dovolená",1,0)+IF(Docházka!J3="Dovolená",1,0)+IF(Docházka!J4="Dovolená",1,0)+IF(Docházka!J5="Dovolená",1,0)+IF(Docházka!J6="Dovolená",1,0)+IF(Docházka!J7="Dovolená",1,0)+IF(Docházka!K3="Dovolená",1,0)+IF(Docházka!K4="Dovolená",1,0)+IF(Docházka!K5="Dovolená",1,0)+IF(Docházka!K6="Dovolená",1,0)+IF(Docházka!K7="Dovolená",1,0)+IF(Docházka!L3="Dovolená",1,0)+IF(Docházka!L4="Dovolená",1,0)+IF(Docházka!L5="Dovolená",1,0)+IF(Docházka!L6="Dovolená",1,0)+IF(Docházka!L7="Dovolená",1,0)+IF(Docházka!G8="Dovolená",1,0)+IF(Docházka!G9="Dovolená",1,0)+IF(Docházka!H8="Dovolená",1,0)+IF(Docházka!H9="Dovolená",1,0)+IF(Docházka!I8="Dovolená",1,0)+IF(Docházka!I9="Dovolená",1,0)+IF(Docházka!J8="Dovolená",1,0)+IF(Docházka!J9="Dovolená",1,0)+IF(Docházka!K8="Dovolená",1,0)+IF(Docházka!K9="Dovolená",1,0)+IF(Docházka!L8="Dovolená",1,0)+IF(Docházka!L9="Dovolená",1,0)</f>
        <v>0</v>
      </c>
      <c r="G11" s="5">
        <f>$H$52*$F$55</f>
        <v>0</v>
      </c>
      <c r="H11" s="5">
        <f t="shared" si="0"/>
        <v>0</v>
      </c>
      <c r="I11" s="18">
        <f>F11</f>
        <v>0</v>
      </c>
      <c r="J11" s="5">
        <f>$J$52*$F$55</f>
        <v>1705</v>
      </c>
      <c r="K11" s="5">
        <f t="shared" si="1"/>
        <v>0</v>
      </c>
      <c r="L11" s="5"/>
      <c r="M11" s="5"/>
      <c r="N11" t="s">
        <v>4</v>
      </c>
      <c r="O11" s="33"/>
      <c r="P11" s="2"/>
    </row>
    <row r="12" spans="1:16" x14ac:dyDescent="0.25">
      <c r="A12" t="s">
        <v>94</v>
      </c>
      <c r="B12" s="22">
        <v>11</v>
      </c>
      <c r="C12" s="22" t="s">
        <v>112</v>
      </c>
      <c r="D12" s="5"/>
      <c r="E12" t="s">
        <v>175</v>
      </c>
      <c r="F12" s="18">
        <f>IF(Docházka!G3="Krev",1,0)+IF(Docházka!G4="Krev",1,0)+IF(Docházka!G5="Krev",1,0)+IF(Docházka!G6="Krev",1,0)+IF(Docházka!G7="Krev",1,0)+IF(Docházka!H3="Krev",1,0)+IF(Docházka!H4="Krev",1,0)+IF(Docházka!H5="Krev",1,0)+IF(Docházka!H6="Krev",1,0)+IF(Docházka!H7="Krev",1,0)+IF(Docházka!I3="Krev",1,0)+IF(Docházka!I4="Krev",1,0)+IF(Docházka!I5="Krev",1,0)+IF(Docházka!I6="Krev",1,0)+IF(Docházka!I7="Krev",1,0)+IF(Docházka!J3="Krev",1,0)+IF(Docházka!J4="Krev",1,0)+IF(Docházka!J5="Krev",1,0)+IF(Docházka!J6="Krev",1,0)+IF(Docházka!J7="Krev",1,0)+IF(Docházka!K3="Krev",1,0)+IF(Docházka!K4="Krev",1,0)+IF(Docházka!K5="Krev",1,0)+IF(Docházka!K6="Krev",1,0)+IF(Docházka!K7="Krev",1,0)+IF(Docházka!L3="Krev",1,0)+IF(Docházka!L4="Krev",1,0)+IF(Docházka!L5="Krev",1,0)+IF(Docházka!L6="Krev",1,0)+IF(Docházka!L7="Krev",1,0)+IF(Docházka!G8="Krev",1,0)+IF(Docházka!G9="Krev",1,0)+IF(Docházka!H8="Krev",1,0)+IF(Docházka!H9="Krev",1,0)+IF(Docházka!I8="Krev",1,0)+IF(Docházka!I9="Krev",1,0)+IF(Docházka!J8="Krev",1,0)+IF(Docházka!J9="Krev",1,0)+IF(Docházka!K8="Krev",1,0)+IF(Docházka!K9="Krev",1,0)+IF(Docházka!L8="Krev",1,0)+IF(Docházka!L9="Krev",1,0)</f>
        <v>0</v>
      </c>
      <c r="G12" s="5">
        <f>$H$52*$F$55</f>
        <v>0</v>
      </c>
      <c r="H12" s="5">
        <f t="shared" si="0"/>
        <v>0</v>
      </c>
      <c r="I12" s="18">
        <f>F12</f>
        <v>0</v>
      </c>
      <c r="J12" s="5">
        <f>$J$52*$F$55</f>
        <v>1705</v>
      </c>
      <c r="K12" s="5">
        <f t="shared" si="1"/>
        <v>0</v>
      </c>
      <c r="L12" s="5"/>
      <c r="M12" s="5"/>
      <c r="N12" t="s">
        <v>5</v>
      </c>
      <c r="O12" s="33"/>
      <c r="P12" s="2"/>
    </row>
    <row r="13" spans="1:16" x14ac:dyDescent="0.25">
      <c r="A13" t="s">
        <v>95</v>
      </c>
      <c r="B13" s="22" t="s">
        <v>111</v>
      </c>
      <c r="C13" s="22" t="s">
        <v>112</v>
      </c>
      <c r="D13" s="5"/>
      <c r="E13" t="s">
        <v>176</v>
      </c>
      <c r="F13" s="18">
        <f>IF(Docházka!G3="Náhrada",1,0)+IF(Docházka!G4="Náhrada",1,0)+IF(Docházka!G5="Náhrada",1,0)+IF(Docházka!G6="Náhrada",1,0)+IF(Docházka!G7="Náhrada",1,0)+IF(Docházka!H3="Náhrada",1,0)+IF(Docházka!H4="Náhrada",1,0)+IF(Docházka!H5="Náhrada",1,0)+IF(Docházka!H6="Náhrada",1,0)+IF(Docházka!H7="Náhrada",1,0)+IF(Docházka!I3="Náhrada",1,0)+IF(Docházka!I4="Náhrada",1,0)+IF(Docházka!I5="Náhrada",1,0)+IF(Docházka!I6="Náhrada",1,0)+IF(Docházka!I7="Náhrada",1,0)+IF(Docházka!J3="Náhrada",1,0)+IF(Docházka!J4="Náhrada",1,0)+IF(Docházka!J5="Náhrada",1,0)+IF(Docházka!J6="Náhrada",1,0)+IF(Docházka!J7="Náhrada",1,0)+IF(Docházka!K3="Náhrada",1,0)+IF(Docházka!K4="Náhrada",1,0)+IF(Docházka!K5="Náhrada",1,0)+IF(Docházka!K6="Náhrada",1,0)+IF(Docházka!K7="Náhrada",1,0)+IF(Docházka!L3="Náhrada",1,0)+IF(Docházka!L4="Náhrada",1,0)+IF(Docházka!L5="Náhrada",1,0)+IF(Docházka!L6="Náhrada",1,0)+IF(Docházka!L7="Náhrada",1,0)+IF(Docházka!G8="Náhrada",1,0)+IF(Docházka!G9="Náhrada",1,0)+IF(Docházka!H8="Náhrada",1,0)+IF(Docházka!H9="Náhrada",1,0)+IF(Docházka!I8="Náhrada",1,0)+IF(Docházka!I9="Náhrada",1,0)+IF(Docházka!J8="Náhrada",1,0)+IF(Docházka!J9="Náhrada",1,0)+IF(Docházka!K8="Náhrada",1,0)+IF(Docházka!K9="Náhrada",1,0)+IF(Docházka!L8="Náhrada",1,0)+IF(Docházka!L9="Náhrada",1,0)</f>
        <v>0</v>
      </c>
      <c r="G13" s="5">
        <f>$H$52*$F$55</f>
        <v>0</v>
      </c>
      <c r="H13" s="5">
        <f t="shared" si="0"/>
        <v>0</v>
      </c>
      <c r="I13" s="18">
        <f>F13</f>
        <v>0</v>
      </c>
      <c r="J13" s="5">
        <f>$J$52*$F$55</f>
        <v>1705</v>
      </c>
      <c r="K13" s="5">
        <f t="shared" si="1"/>
        <v>0</v>
      </c>
      <c r="L13" s="5"/>
      <c r="M13" s="5"/>
      <c r="N13" t="s">
        <v>6</v>
      </c>
      <c r="O13" s="33"/>
      <c r="P13" s="2"/>
    </row>
    <row r="14" spans="1:16" x14ac:dyDescent="0.25">
      <c r="A14" t="s">
        <v>65</v>
      </c>
      <c r="B14" s="22">
        <v>7.5</v>
      </c>
      <c r="C14" s="22" t="s">
        <v>114</v>
      </c>
      <c r="D14" s="5"/>
      <c r="E14" t="s">
        <v>168</v>
      </c>
      <c r="F14" s="33">
        <f>IF(Docházka!G3="Ranní Svátek",1,0)+IF(Docházka!G4="Ranní Svátek",1,0)+IF(Docházka!G5="Ranní Svátek",1,0)+IF(Docházka!G6="Ranní Svátek",1,0)+IF(Docházka!G7="Ranní Svátek",1,0)+IF(Docházka!H3="Ranní Svátek",1,0)+IF(Docházka!H4="Ranní Svátek",1,0)+IF(Docházka!H5="Ranní Svátek",1,0)+IF(Docházka!H6="Ranní Svátek",1,0)+IF(Docházka!H7="Ranní Svátek",1,0)+IF(Docházka!I3="Ranní Svátek",1,0)+IF(Docházka!I4="Ranní Svátek",1,0)+IF(Docházka!I5="Ranní Svátek",1,0)+IF(Docházka!I6="Ranní Svátek",1,0)+IF(Docházka!I7="Ranní Svátek",1,0)+IF(Docházka!J3="Ranní Svátek",1,0)+IF(Docházka!J4="Ranní Svátek",1,0)+IF(Docházka!J5="Ranní Svátek",1,0)+IF(Docházka!J6="Ranní Svátek",1,0)+IF(Docházka!J7="Ranní Svátek",1,0)+IF(Docházka!K3="Ranní Svátek",1,0)+IF(Docházka!K4="Ranní Svátek",1,0)+IF(Docházka!K5="Ranní Svátek",1,0)+IF(Docházka!K6="Ranní Svátek",1,0)+IF(Docházka!K7="Ranní Svátek",1,0)+IF(Docházka!L3="Ranní Svátek",1,0)+IF(Docházka!L4="Ranní Svátek",1,0)+IF(Docházka!L5="Ranní Svátek",1,0)+IF(Docházka!L6="Ranní Svátek",1,0)+IF(Docházka!L7="Ranní Svátek",1,0)</f>
        <v>0</v>
      </c>
      <c r="G14" s="5">
        <f>$H$52*($F$48+$D$1)+$B$1*$F$55</f>
        <v>1162.5</v>
      </c>
      <c r="H14" s="5">
        <f t="shared" si="0"/>
        <v>0</v>
      </c>
      <c r="I14" s="33">
        <f>F14</f>
        <v>0</v>
      </c>
      <c r="J14" s="5">
        <f>$H$53*($F$48+$D$1)+$B$1*$F$55</f>
        <v>2325</v>
      </c>
      <c r="K14" s="5">
        <f t="shared" si="1"/>
        <v>0</v>
      </c>
      <c r="L14" s="5"/>
      <c r="M14" s="5"/>
      <c r="N14" t="s">
        <v>102</v>
      </c>
      <c r="O14" s="33"/>
      <c r="P14" s="2"/>
    </row>
    <row r="15" spans="1:16" x14ac:dyDescent="0.25">
      <c r="A15" t="s">
        <v>66</v>
      </c>
      <c r="B15" s="22">
        <v>3.5</v>
      </c>
      <c r="C15" s="22" t="s">
        <v>114</v>
      </c>
      <c r="D15" s="5"/>
      <c r="E15" t="s">
        <v>169</v>
      </c>
      <c r="F15" s="33">
        <f>IF(Docházka!G3="Odpolední Svátek",1,0)+IF(Docházka!G4="Odpolední Svátek",1,0)+IF(Docházka!G5="Odpolední Svátek",1,0)+IF(Docházka!G6="Odpolední Svátek",1,0)+IF(Docházka!G7="Odpolední Svátek",1,0)+IF(Docházka!H3="Odpolední Svátek",1,0)+IF(Docházka!H4="Odpolední Svátek",1,0)+IF(Docházka!H5="Odpolední Svátek",1,0)+IF(Docházka!H6="Odpolední Svátek",1,0)+IF(Docházka!H7="Odpolední Svátek",1,0)+IF(Docházka!I3="Odpolední Svátek",1,0)+IF(Docházka!I4="Odpolední Svátek",1,0)+IF(Docházka!I5="Odpolední Svátek",1,0)+IF(Docházka!I6="Odpolední Svátek",1,0)+IF(Docházka!I7="Odpolední Svátek",1,0)+IF(Docházka!J3="Odpolední Svátek",1,0)+IF(Docházka!J4="Odpolední Svátek",1,0)+IF(Docházka!J5="Odpolední Svátek",1,0)+IF(Docházka!J6="Odpolední Svátek",1,0)+IF(Docházka!J7="Odpolední Svátek",1,0)+IF(Docházka!K3="Odpolední Svátek",1,0)+IF(Docházka!K4="Odpolední Svátek",1,0)+IF(Docházka!K5="Odpolední Svátek",1,0)+IF(Docházka!K6="Odpolední Svátek",1,0)+IF(Docházka!K7="Odpolední Svátek",1,0)+IF(Docházka!L3="Odpolední Svátek",1,0)+IF(Docházka!L4="Odpolední Svátek",1,0)+IF(Docházka!L5="Odpolední Svátek",1,0)+IF(Docházka!L6="Odpolední Svátek",1,0)+IF(Docházka!L7="Odpolední Svátek",1,0)</f>
        <v>0</v>
      </c>
      <c r="G15" s="5">
        <f>$H$52*($F$48+$D$2)+$B$1*$F$55</f>
        <v>1162.5</v>
      </c>
      <c r="H15" s="5">
        <f t="shared" si="0"/>
        <v>0</v>
      </c>
      <c r="I15" s="33">
        <f>IF(I14&gt;0,I14,0)+IF(I16&gt;0,I16,0)</f>
        <v>0</v>
      </c>
      <c r="J15" s="5">
        <f>$J$53*($F$48+$D$2)+$B$1*$F$55</f>
        <v>1733</v>
      </c>
      <c r="K15" s="5">
        <f t="shared" si="1"/>
        <v>0</v>
      </c>
      <c r="L15" s="5"/>
      <c r="M15" s="5"/>
      <c r="N15" t="s">
        <v>103</v>
      </c>
      <c r="O15" s="33"/>
      <c r="P15" s="2"/>
    </row>
    <row r="16" spans="1:16" x14ac:dyDescent="0.25">
      <c r="A16" t="s">
        <v>67</v>
      </c>
      <c r="B16" s="22">
        <v>7.5</v>
      </c>
      <c r="C16" s="22" t="s">
        <v>114</v>
      </c>
      <c r="D16" s="5"/>
      <c r="E16" t="s">
        <v>170</v>
      </c>
      <c r="F16" s="33">
        <f>IF(Docházka!G3="Noční Svátek",1,0)+IF(Docházka!G4="Noční Svátek",1,0)+IF(Docházka!G5="Noční Svátek",1,0)+IF(Docházka!G6="Noční Svátek",1,0)+IF(Docházka!G7="Noční Svátek",1,0)+IF(Docházka!H3="Noční Svátek",1,0)+IF(Docházka!H4="Noční Svátek",1,0)+IF(Docházka!H5="Noční Svátek",1,0)+IF(Docházka!H6="Noční Svátek",1,0)+IF(Docházka!H7="Noční Svátek",1,0)+IF(Docházka!I3="Noční Svátek",1,0)+IF(Docházka!I4="Noční Svátek",1,0)+IF(Docházka!I5="Noční Svátek",1,0)+IF(Docházka!I6="Noční Svátek",1,0)+IF(Docházka!I7="Noční Svátek",1,0)+IF(Docházka!J3="Noční Svátek",1,0)+IF(Docházka!J4="Noční Svátek",1,0)+IF(Docházka!J5="Noční Svátek",1,0)+IF(Docházka!J6="Noční Svátek",1,0)+IF(Docházka!J7="Noční Svátek",1,0)+IF(Docházka!K3="Noční Svátek",1,0)+IF(Docházka!K4="Noční Svátek",1,0)+IF(Docházka!K5="Noční Svátek",1,0)+IF(Docházka!K6="Noční Svátek",1,0)+IF(Docházka!K7="Noční Svátek",1,0)+IF(Docházka!L3="Noční Svátek",1,0)+IF(Docházka!L4="Noční Svátek",1,0)+IF(Docházka!L5="Noční Svátek",1,0)+IF(Docházka!L6="Noční Svátek",1,0)+IF(Docházka!L7="Noční Svátek",1,0)</f>
        <v>0</v>
      </c>
      <c r="G16" s="5">
        <f>$H$52*($F$48+$D$3)+$B$1*$F$55</f>
        <v>1162.5</v>
      </c>
      <c r="H16" s="5">
        <f t="shared" si="0"/>
        <v>0</v>
      </c>
      <c r="I16" s="33">
        <f>F16</f>
        <v>0</v>
      </c>
      <c r="J16" s="5">
        <f>$H$53*($F$48+$D$3)+$B$1*$F$55</f>
        <v>2550</v>
      </c>
      <c r="K16" s="5">
        <f t="shared" si="1"/>
        <v>0</v>
      </c>
      <c r="L16" s="5"/>
      <c r="M16" s="5"/>
      <c r="N16" t="s">
        <v>104</v>
      </c>
      <c r="O16" s="33"/>
      <c r="P16" s="2"/>
    </row>
    <row r="17" spans="1:15" x14ac:dyDescent="0.25">
      <c r="A17" t="s">
        <v>189</v>
      </c>
      <c r="B17" s="22">
        <v>7.5</v>
      </c>
      <c r="C17" s="22" t="s">
        <v>113</v>
      </c>
      <c r="D17" s="5"/>
      <c r="E17" t="s">
        <v>168</v>
      </c>
      <c r="F17" s="2">
        <f>IF(Docházka!G8="Ranní Svátek",1,0)+IF(Docházka!H8="Ranní Svátek",1,0)+IF(Docházka!I8="Ranní Svátek",1,0)+IF(Docházka!J8="Ranní Svátek",1,0)+IF(Docházka!K8="Ranní Svátek",1,0)+IF(Docházka!L8="Ranní Svátek",1,0)</f>
        <v>0</v>
      </c>
      <c r="G17" s="5">
        <f>$H$52*($F$48+$D$1)*1.25++$B$1*$F$55</f>
        <v>1162.5</v>
      </c>
      <c r="H17" s="5">
        <f t="shared" si="0"/>
        <v>0</v>
      </c>
      <c r="I17" s="33">
        <f t="shared" ref="I17:I38" si="7">F17</f>
        <v>0</v>
      </c>
      <c r="J17" s="5">
        <f>$H$53*($F$48+$D$1)*1.25++$B$1*$F$55</f>
        <v>2615.625</v>
      </c>
      <c r="K17" s="5">
        <f t="shared" si="1"/>
        <v>0</v>
      </c>
      <c r="L17" s="5"/>
      <c r="M17" s="5"/>
      <c r="N17" t="s">
        <v>166</v>
      </c>
      <c r="O17" s="18"/>
    </row>
    <row r="18" spans="1:15" x14ac:dyDescent="0.25">
      <c r="A18" t="s">
        <v>190</v>
      </c>
      <c r="B18" s="22">
        <v>3.5</v>
      </c>
      <c r="C18" s="22" t="s">
        <v>113</v>
      </c>
      <c r="D18" s="5"/>
      <c r="E18" t="s">
        <v>169</v>
      </c>
      <c r="F18" s="2">
        <f>IF(Docházka!G8="Odpolední Svátek",1,0)+IF(Docházka!H8="Odpolední Svátek",1,0)+IF(Docházka!I8="Odpolední Svátek",1,0)+IF(Docházka!J8="Odpolední Svátek",1,0)+IF(Docházka!K8="Odpolední Svátek",1,0)+IF(Docházka!L8="Odpolední Svátek",1,0)</f>
        <v>0</v>
      </c>
      <c r="G18" s="5">
        <f>$H$52*($F$48+$D$2)*1.25+$B$1*$F$55</f>
        <v>1162.5</v>
      </c>
      <c r="H18" s="5">
        <f t="shared" si="0"/>
        <v>0</v>
      </c>
      <c r="I18" s="33">
        <f t="shared" ref="I18:I39" si="8">IF(I17&gt;0,I17,0)+IF(I19&gt;0,I19,0)</f>
        <v>0</v>
      </c>
      <c r="J18" s="5">
        <f>$J$53*($F$48+$D$2)*1.25+$B$1*$F$55</f>
        <v>1875.625</v>
      </c>
      <c r="K18" s="5">
        <f t="shared" si="1"/>
        <v>0</v>
      </c>
      <c r="L18" s="5"/>
      <c r="M18" s="5"/>
    </row>
    <row r="19" spans="1:15" x14ac:dyDescent="0.25">
      <c r="A19" t="s">
        <v>191</v>
      </c>
      <c r="B19" s="22">
        <v>7.5</v>
      </c>
      <c r="C19" s="22" t="s">
        <v>113</v>
      </c>
      <c r="D19" s="5"/>
      <c r="E19" t="s">
        <v>170</v>
      </c>
      <c r="F19" s="2">
        <f>IF(Docházka!G8="Noční Svátek",1,0)+IF(Docházka!H8="Noční Svátek",1,0)+IF(Docházka!I8="Noční Svátek",1,0)+IF(Docházka!J8="Noční Svátek",1,0)+IF(Docházka!K8="Noční Svátek",1,0)+IF(Docházka!L8="Noční Svátek",1,0)</f>
        <v>0</v>
      </c>
      <c r="G19" s="5">
        <f>$H$52*($F$48+$D$3)*1.25+$B$1*$F$55</f>
        <v>1162.5</v>
      </c>
      <c r="H19" s="5">
        <f t="shared" si="0"/>
        <v>0</v>
      </c>
      <c r="I19" s="33">
        <f t="shared" ref="I19:I20" si="9">F19</f>
        <v>0</v>
      </c>
      <c r="J19" s="5">
        <f>$H$53*($F$48+$D$3)*1.25+$B$1*$F$55</f>
        <v>2896.875</v>
      </c>
      <c r="K19" s="5">
        <f t="shared" si="1"/>
        <v>0</v>
      </c>
      <c r="L19" s="5"/>
      <c r="M19" s="5"/>
    </row>
    <row r="20" spans="1:15" x14ac:dyDescent="0.25">
      <c r="A20" t="s">
        <v>192</v>
      </c>
      <c r="B20" s="22">
        <v>7.5</v>
      </c>
      <c r="C20" s="22" t="s">
        <v>113</v>
      </c>
      <c r="D20" s="5"/>
      <c r="E20" t="s">
        <v>168</v>
      </c>
      <c r="F20" s="2">
        <f>IF(Docházka!G9="Ranní Svátek",1,0)+IF(Docházka!H9="Ranní Svátek",1,0)+IF(Docházka!I9="Ranní Svátek",1,0)+IF(Docházka!J9="Ranní Svátek",1,0)+IF(Docházka!K9="Ranní Svátek",1,0)+IF(Docházka!L9="Ranní Svátek",1,0)</f>
        <v>0</v>
      </c>
      <c r="G20" s="5">
        <f>$H$52*($F$48+$D$1)*1.25+$B$1*$F$55</f>
        <v>1162.5</v>
      </c>
      <c r="H20" s="5">
        <f t="shared" si="0"/>
        <v>0</v>
      </c>
      <c r="I20" s="33">
        <f t="shared" si="9"/>
        <v>0</v>
      </c>
      <c r="J20" s="5">
        <f>$H$53*($F$48+$D$1)*1.25+$B$1*$F$55</f>
        <v>2615.625</v>
      </c>
      <c r="K20" s="5">
        <f t="shared" si="1"/>
        <v>0</v>
      </c>
      <c r="L20" s="5"/>
      <c r="M20" s="5"/>
    </row>
    <row r="21" spans="1:15" x14ac:dyDescent="0.25">
      <c r="A21" t="s">
        <v>193</v>
      </c>
      <c r="B21" s="22">
        <v>3.5</v>
      </c>
      <c r="C21" s="22" t="s">
        <v>113</v>
      </c>
      <c r="D21" s="5"/>
      <c r="E21" t="s">
        <v>169</v>
      </c>
      <c r="F21" s="2">
        <f>IF(Docházka!G9="Odpolední Svátek",1,0)+IF(Docházka!H9="Odpolední Svátek",1,0)+IF(Docházka!I9="Odpolední Svátek",1,0)+IF(Docházka!J9="Odpolední Svátek",1,0)+IF(Docházka!K9="Odpolední Svátek",1,0)+IF(Docházka!L9="Odpolední Svátek",1,0)</f>
        <v>0</v>
      </c>
      <c r="G21" s="5">
        <f>$H$52*($F$48+$D$2)*1.25+$B$1*$F$55</f>
        <v>1162.5</v>
      </c>
      <c r="H21" s="5">
        <f t="shared" si="0"/>
        <v>0</v>
      </c>
      <c r="I21" s="33">
        <f t="shared" ref="I21" si="10">IF(I20&gt;0,I20,0)+IF(I22&gt;0,I22,0)</f>
        <v>0</v>
      </c>
      <c r="J21" s="5">
        <f>$J$53*($F$48+$D$2)*1.25+$B$1*$F$55</f>
        <v>1875.625</v>
      </c>
      <c r="K21" s="5">
        <f t="shared" si="1"/>
        <v>0</v>
      </c>
      <c r="L21" s="5"/>
      <c r="M21" s="5"/>
    </row>
    <row r="22" spans="1:15" x14ac:dyDescent="0.25">
      <c r="A22" t="s">
        <v>194</v>
      </c>
      <c r="B22" s="22">
        <v>7.5</v>
      </c>
      <c r="C22" s="22" t="s">
        <v>113</v>
      </c>
      <c r="D22" s="5"/>
      <c r="E22" t="s">
        <v>170</v>
      </c>
      <c r="F22" s="2">
        <f>IF(Docházka!G9="Noční Svátek",1,0)+IF(Docházka!H9="Noční Svátek",1,0)+IF(Docházka!I9="Noční Svátek",1,0)+IF(Docházka!J9="Noční Svátek",1,0)+IF(Docházka!K9="Noční Svátek",1,0)+IF(Docházka!L9="Noční Svátek",1,0)</f>
        <v>0</v>
      </c>
      <c r="G22" s="5">
        <f>$H$52*($F$48+$D$3)*1.25+$B$1*$F$55</f>
        <v>1162.5</v>
      </c>
      <c r="H22" s="5">
        <f t="shared" si="0"/>
        <v>0</v>
      </c>
      <c r="I22" s="33">
        <f t="shared" ref="I22" si="11">F22</f>
        <v>0</v>
      </c>
      <c r="J22" s="5">
        <f>$H$53*($F$48+$D$3)*1.25+$B$1*$F$55</f>
        <v>2896.875</v>
      </c>
      <c r="K22" s="5">
        <f t="shared" si="1"/>
        <v>0</v>
      </c>
      <c r="L22" s="5"/>
      <c r="M22" s="5"/>
    </row>
    <row r="23" spans="1:15" x14ac:dyDescent="0.25">
      <c r="A23" t="s">
        <v>4</v>
      </c>
      <c r="B23" s="22">
        <v>7.5</v>
      </c>
      <c r="C23" s="31">
        <v>0.25</v>
      </c>
      <c r="D23" s="5"/>
      <c r="E23" t="s">
        <v>171</v>
      </c>
      <c r="F23" s="33">
        <f>IF(Docházka!G3="Přesčas Ranní",1,0)+IF(Docházka!G4="Přesčas Ranní",1,0)+IF(Docházka!G5="Přesčas Ranní",1,0)+IF(Docházka!G6="Přesčas Ranní",1,0)+IF(Docházka!G7="Přesčas Ranní",1,0)+IF(Docházka!H3="Přesčas Ranní",1,0)+IF(Docházka!H4="Přesčas Ranní",1,0)+IF(Docházka!H5="Přesčas Ranní",1,0)+IF(Docházka!H6="Přesčas Ranní",1,0)+IF(Docházka!H7="Přesčas Ranní",1,0)+IF(Docházka!I3="Přesčas Ranní",1,0)+IF(Docházka!I4="Přesčas Ranní",1,0)+IF(Docházka!I5="Přesčas Ranní",1,0)+IF(Docházka!I6="Přesčas Ranní",1,0)+IF(Docházka!I7="Přesčas Ranní",1,0)+IF(Docházka!J3="Přesčas Ranní",1,0)+IF(Docházka!J4="Přesčas Ranní",1,0)+IF(Docházka!J5="Přesčas Ranní",1,0)+IF(Docházka!J6="Přesčas Ranní",1,0)+IF(Docházka!J7="Přesčas Ranní",1,0)+IF(Docházka!K3="Přesčas Ranní",1,0)+IF(Docházka!K4="Přesčas Ranní",1,0)+IF(Docházka!K5="Přesčas Ranní",1,0)+IF(Docházka!K6="Přesčas Ranní",1,0)+IF(Docházka!K7="Přesčas Ranní",1,0)+IF(Docházka!L3="Přesčas Ranní",1,0)+IF(Docházka!L4="Přesčas Ranní",1,0)+IF(Docházka!L5="Přesčas Ranní",1,0)+IF(Docházka!L6="Přesčas Ranní",1,0)+IF(Docházka!L7="Přesčas Ranní",1,0)</f>
        <v>0</v>
      </c>
      <c r="G23" s="5">
        <f>$H$52*($F$48+$D$1)*1.25</f>
        <v>0</v>
      </c>
      <c r="H23" s="5">
        <f t="shared" si="0"/>
        <v>0</v>
      </c>
      <c r="I23" s="33">
        <f t="shared" si="7"/>
        <v>0</v>
      </c>
      <c r="J23" s="5">
        <f>$H$53*($F$48+$D$1)*1.25</f>
        <v>1453.125</v>
      </c>
      <c r="K23" s="5">
        <f t="shared" si="1"/>
        <v>0</v>
      </c>
      <c r="L23" s="5"/>
      <c r="M23" s="5"/>
    </row>
    <row r="24" spans="1:15" x14ac:dyDescent="0.25">
      <c r="A24" t="s">
        <v>5</v>
      </c>
      <c r="B24" s="22">
        <v>3.5</v>
      </c>
      <c r="C24" s="31">
        <v>0.25</v>
      </c>
      <c r="D24" s="5"/>
      <c r="E24" t="s">
        <v>172</v>
      </c>
      <c r="F24" s="33">
        <f>IF(Docházka!G3="Přesčas Odpolední",1,0)+IF(Docházka!G4="Přesčas Odpolední",1,0)+IF(Docházka!G5="Přesčas Odpolední",1,0)+IF(Docházka!G6="Přesčas Odpolední",1,0)+IF(Docházka!G7="Přesčas Odpolední",1,0)+IF(Docházka!H3="Přesčas Odpolední",1,0)+IF(Docházka!H4="Přesčas Odpolední",1,0)+IF(Docházka!H5="Přesčas Odpolední",1,0)+IF(Docházka!H6="Přesčas Odpolední",1,0)+IF(Docházka!H7="Přesčas Odpolední",1,0)+IF(Docházka!I3="Přesčas Odpolední",1,0)+IF(Docházka!I4="Přesčas Odpolední",1,0)+IF(Docházka!I5="Přesčas Odpolední",1,0)+IF(Docházka!I6="Přesčas Odpolední",1,0)+IF(Docházka!I7="Přesčas Odpolední",1,0)+IF(Docházka!J3="Přesčas Odpolední",1,0)+IF(Docházka!J4="Přesčas Odpolední",1,0)+IF(Docházka!J5="Přesčas Odpolední",1,0)+IF(Docházka!J6="Přesčas Odpolední",1,0)+IF(Docházka!J7="Přesčas Odpolední",1,0)+IF(Docházka!K3="Přesčas Odpolední",1,0)+IF(Docházka!K4="Přesčas Odpolední",1,0)+IF(Docházka!K5="Přesčas Odpolední",1,0)+IF(Docházka!K6="Přesčas Odpolední",1,0)+IF(Docházka!K7="Přesčas Odpolední",1,0)+IF(Docházka!L3="Přesčas Odpolední",1,0)+IF(Docházka!L4="Přesčas Odpolední",1,0)+IF(Docházka!L5="Přesčas Odpolední",1,0)+IF(Docházka!L6="Přesčas Odpolední",1,0)+IF(Docházka!L7="Přesčas Odpolední",1,0)</f>
        <v>0</v>
      </c>
      <c r="G24" s="5">
        <f>$H$52*($F$48+$D$2)*1.25</f>
        <v>0</v>
      </c>
      <c r="H24" s="5">
        <f t="shared" si="0"/>
        <v>0</v>
      </c>
      <c r="I24" s="33">
        <f t="shared" si="8"/>
        <v>0</v>
      </c>
      <c r="J24" s="5">
        <f>$J$53*($F$48+$D$2)*1.25</f>
        <v>713.125</v>
      </c>
      <c r="K24" s="5">
        <f t="shared" si="1"/>
        <v>0</v>
      </c>
      <c r="L24" s="5"/>
      <c r="M24" s="5"/>
    </row>
    <row r="25" spans="1:15" x14ac:dyDescent="0.25">
      <c r="A25" t="s">
        <v>6</v>
      </c>
      <c r="B25" s="22">
        <v>7.5</v>
      </c>
      <c r="C25" s="31">
        <v>0.25</v>
      </c>
      <c r="D25" s="5"/>
      <c r="E25" t="s">
        <v>173</v>
      </c>
      <c r="F25" s="33">
        <f>IF(Docházka!G3="Přesčas Noční",1,0)+IF(Docházka!G4="Přesčas Noční",1,0)+IF(Docházka!G5="Přesčas Noční",1,0)+IF(Docházka!G6="Přesčas Noční",1,0)+IF(Docházka!G7="Přesčas Noční",1,0)+IF(Docházka!H3="Přesčas Noční",1,0)+IF(Docházka!H4="Přesčas Noční",1,0)+IF(Docházka!H5="Přesčas Noční",1,0)+IF(Docházka!H6="Přesčas Noční",1,0)+IF(Docházka!H7="Přesčas Noční",1,0)+IF(Docházka!I3="Přesčas Noční",1,0)+IF(Docházka!I4="Přesčas Noční",1,0)+IF(Docházka!I5="Přesčas Noční",1,0)+IF(Docházka!I6="Přesčas Noční",1,0)+IF(Docházka!I7="Přesčas Noční",1,0)+IF(Docházka!J3="Přesčas Noční",1,0)+IF(Docházka!J4="Přesčas Noční",1,0)+IF(Docházka!J5="Přesčas Noční",1,0)+IF(Docházka!J6="Přesčas Noční",1,0)+IF(Docházka!J7="Přesčas Noční",1,0)+IF(Docházka!K3="Přesčas Noční",1,0)+IF(Docházka!K4="Přesčas Noční",1,0)+IF(Docházka!K5="Přesčas Noční",1,0)+IF(Docházka!K6="Přesčas Noční",1,0)+IF(Docházka!K7="Přesčas Noční",1,0)+IF(Docházka!L3="Přesčas Noční",1,0)+IF(Docházka!L4="Přesčas Noční",1,0)+IF(Docházka!L5="Přesčas Noční",1,0)+IF(Docházka!L6="Přesčas Noční",1,0)+IF(Docházka!L7="Přesčas Noční",1,0)</f>
        <v>0</v>
      </c>
      <c r="G25" s="5">
        <f>$H$52*($F$48+$D$3)*1.25</f>
        <v>0</v>
      </c>
      <c r="H25" s="5">
        <f t="shared" si="0"/>
        <v>0</v>
      </c>
      <c r="I25" s="33">
        <f t="shared" ref="I25:I40" si="12">F25</f>
        <v>0</v>
      </c>
      <c r="J25" s="5">
        <f>$H$53*($F$48+$D$3)*1.25</f>
        <v>1734.375</v>
      </c>
      <c r="K25" s="5">
        <f t="shared" si="1"/>
        <v>0</v>
      </c>
      <c r="L25" s="5"/>
      <c r="M25" s="5"/>
    </row>
    <row r="26" spans="1:15" x14ac:dyDescent="0.25">
      <c r="A26" t="s">
        <v>96</v>
      </c>
      <c r="B26" s="22">
        <v>7.5</v>
      </c>
      <c r="C26" s="31">
        <v>0.5</v>
      </c>
      <c r="D26" s="5"/>
      <c r="E26" t="s">
        <v>171</v>
      </c>
      <c r="F26" s="2">
        <f>IF(Docházka!G8="Přesčas Ranní",1,0)+IF(Docházka!H8="Přesčas Ranní",1,0)+IF(Docházka!I8="Přesčas Ranní",1,0)+IF(Docházka!J8="Přesčas Ranní",1,0)+IF(Docházka!K8="Přesčas Ranní",1,0)+IF(Docházka!L8="Přesčas Ranní",1,0)</f>
        <v>0</v>
      </c>
      <c r="G26" s="5">
        <f>$H$52*($F$48+$D$1)*1.5</f>
        <v>0</v>
      </c>
      <c r="H26" s="5">
        <f t="shared" si="0"/>
        <v>0</v>
      </c>
      <c r="I26" s="33">
        <f t="shared" si="7"/>
        <v>0</v>
      </c>
      <c r="J26" s="5">
        <f>$H$53*($F$48+$D$1)*1.5</f>
        <v>1743.75</v>
      </c>
      <c r="K26" s="5">
        <f t="shared" si="1"/>
        <v>0</v>
      </c>
      <c r="L26" s="5"/>
      <c r="M26" s="5"/>
    </row>
    <row r="27" spans="1:15" x14ac:dyDescent="0.25">
      <c r="A27" t="s">
        <v>98</v>
      </c>
      <c r="B27" s="22">
        <v>3.5</v>
      </c>
      <c r="C27" s="31">
        <v>0.5</v>
      </c>
      <c r="D27" s="5"/>
      <c r="E27" t="s">
        <v>172</v>
      </c>
      <c r="F27" s="2">
        <f>IF(Docházka!G8="Přesčas Odpolední",1,0)+IF(Docházka!H8="Přesčas Odpolední",1,0)+IF(Docházka!I8="Přesčas Odpolední",1,0)+IF(Docházka!J8="Přesčas Odpolední",1,0)+IF(Docházka!K8="Přesčas Odpolední",1,0)+IF(Docházka!L8="Přesčas Odpolední",1,0)</f>
        <v>0</v>
      </c>
      <c r="G27" s="5">
        <f>$H$52*($F$48+$D$2)*1.5</f>
        <v>0</v>
      </c>
      <c r="H27" s="5">
        <f t="shared" si="0"/>
        <v>0</v>
      </c>
      <c r="I27" s="33">
        <f t="shared" si="8"/>
        <v>0</v>
      </c>
      <c r="J27" s="5">
        <f>$J$53*($F$48+$D$2)*1.5</f>
        <v>855.75</v>
      </c>
      <c r="K27" s="5">
        <f t="shared" si="1"/>
        <v>0</v>
      </c>
      <c r="L27" s="5"/>
      <c r="M27" s="5"/>
    </row>
    <row r="28" spans="1:15" x14ac:dyDescent="0.25">
      <c r="A28" t="s">
        <v>99</v>
      </c>
      <c r="B28" s="22">
        <v>7.5</v>
      </c>
      <c r="C28" s="31">
        <v>0.5</v>
      </c>
      <c r="D28" s="5"/>
      <c r="E28" t="s">
        <v>173</v>
      </c>
      <c r="F28" s="2">
        <f>IF(Docházka!G8="Přesčas Noční",1,0)+IF(Docházka!H8="Přesčas Noční",1,0)+IF(Docházka!I8="Přesčas Noční",1,0)+IF(Docházka!J8="Přesčas Noční",1,0)+IF(Docházka!K8="Přesčas Noční",1,0)+IF(Docházka!L8="Přesčas Noční",1,0)</f>
        <v>0</v>
      </c>
      <c r="G28" s="5">
        <f>$H$52*($F$48+$D$3)*1.5</f>
        <v>0</v>
      </c>
      <c r="H28" s="5">
        <f t="shared" si="0"/>
        <v>0</v>
      </c>
      <c r="I28" s="33">
        <f t="shared" si="12"/>
        <v>0</v>
      </c>
      <c r="J28" s="5">
        <f>$H$53*($F$48+$D$3)*1.5</f>
        <v>2081.25</v>
      </c>
      <c r="K28" s="5">
        <f t="shared" si="1"/>
        <v>0</v>
      </c>
      <c r="L28" s="5"/>
      <c r="M28" s="5"/>
    </row>
    <row r="29" spans="1:15" x14ac:dyDescent="0.25">
      <c r="A29" t="s">
        <v>100</v>
      </c>
      <c r="B29" s="22">
        <v>7.5</v>
      </c>
      <c r="C29" s="31">
        <v>0.5</v>
      </c>
      <c r="D29" s="5"/>
      <c r="E29" t="s">
        <v>171</v>
      </c>
      <c r="F29" s="2">
        <f>IF(Docházka!G9="Přesčas Ranní",1,0)+IF(Docházka!H9="Přesčas Ranní",1,0)+IF(Docházka!I9="Přesčas Ranní",1,0)+IF(Docházka!J9="Přesčas Ranní",1,0)+IF(Docházka!K9="Přesčas Ranní",1,0)+IF(Docházka!L9="Přesčas Ranní",1,0)</f>
        <v>0</v>
      </c>
      <c r="G29" s="5">
        <f>$H$52*($F$48+$D$1)*1.5</f>
        <v>0</v>
      </c>
      <c r="H29" s="5">
        <f t="shared" si="0"/>
        <v>0</v>
      </c>
      <c r="I29" s="33">
        <f t="shared" si="7"/>
        <v>0</v>
      </c>
      <c r="J29" s="5">
        <f>$H$53*($F$48+$D$1)*1.5</f>
        <v>1743.75</v>
      </c>
      <c r="K29" s="5">
        <f t="shared" si="1"/>
        <v>0</v>
      </c>
      <c r="L29" s="5"/>
      <c r="M29" s="5"/>
    </row>
    <row r="30" spans="1:15" x14ac:dyDescent="0.25">
      <c r="A30" t="s">
        <v>97</v>
      </c>
      <c r="B30" s="22">
        <v>3.5</v>
      </c>
      <c r="C30" s="31">
        <v>0.5</v>
      </c>
      <c r="D30" s="5"/>
      <c r="E30" t="s">
        <v>172</v>
      </c>
      <c r="F30" s="2">
        <f>IF(Docházka!G9="Přesčas Odpolední",1,0)+IF(Docházka!H9="Přesčas Odpolední",1,0)+IF(Docházka!I9="Přesčas Odpolední",1,0)+IF(Docházka!J9="Přesčas Odpolední",1,0)+IF(Docházka!K9="Přesčas Odpolední",1,0)+IF(Docházka!L9="Přesčas Odpolední",1,0)</f>
        <v>0</v>
      </c>
      <c r="G30" s="5">
        <f>$H$52*($F$48+$D$2)*1.5</f>
        <v>0</v>
      </c>
      <c r="H30" s="5">
        <f t="shared" si="0"/>
        <v>0</v>
      </c>
      <c r="I30" s="33">
        <f t="shared" si="8"/>
        <v>0</v>
      </c>
      <c r="J30" s="5">
        <f>$J$53*($F$48+$D$2)*1.5</f>
        <v>855.75</v>
      </c>
      <c r="K30" s="5">
        <f t="shared" si="1"/>
        <v>0</v>
      </c>
      <c r="L30" s="5"/>
      <c r="M30" s="5"/>
    </row>
    <row r="31" spans="1:15" x14ac:dyDescent="0.25">
      <c r="A31" t="s">
        <v>101</v>
      </c>
      <c r="B31" s="22">
        <v>7.5</v>
      </c>
      <c r="C31" s="31">
        <v>0.5</v>
      </c>
      <c r="D31" s="5"/>
      <c r="E31" t="s">
        <v>173</v>
      </c>
      <c r="F31" s="2">
        <f>IF(Docházka!G9="Přesčas Noční",1,0)+IF(Docházka!H9="Přesčas Noční",1,0)+IF(Docházka!I9="Přesčas Noční",1,0)+IF(Docházka!J9="Přesčas Noční",1,0)+IF(Docházka!K9="Přesčas Noční",1,0)+IF(Docházka!L9="Přesčas Noční",1,0)</f>
        <v>0</v>
      </c>
      <c r="G31" s="5">
        <f>$H$52*($F$48+$D$3)*1.5</f>
        <v>0</v>
      </c>
      <c r="H31" s="5">
        <f t="shared" si="0"/>
        <v>0</v>
      </c>
      <c r="I31" s="33">
        <f t="shared" si="12"/>
        <v>0</v>
      </c>
      <c r="J31" s="5">
        <f>$H$53*($F$48+$D$3)*1.5</f>
        <v>2081.25</v>
      </c>
      <c r="K31" s="5">
        <f t="shared" si="1"/>
        <v>0</v>
      </c>
      <c r="L31" s="5"/>
      <c r="M31" s="5"/>
    </row>
    <row r="32" spans="1:15" x14ac:dyDescent="0.25">
      <c r="A32" t="s">
        <v>102</v>
      </c>
      <c r="B32" s="22">
        <v>7.5</v>
      </c>
      <c r="C32" s="22" t="s">
        <v>113</v>
      </c>
      <c r="D32" s="5"/>
      <c r="E32" t="s">
        <v>177</v>
      </c>
      <c r="F32" s="33">
        <f>IF(Docházka!G3="Přesčas Ranní Svátek",1,0)+IF(Docházka!G4="Přesčas Ranní Svátek",1,0)+IF(Docházka!G5="Přesčas Ranní Svátek",1,0)+IF(Docházka!G6="Přesčas Ranní Svátek",1,0)+IF(Docházka!G7="Přesčas Ranní Svátek",1,0)+IF(Docházka!H3="Přesčas Ranní Svátek",1,0)+IF(Docházka!H4="Přesčas Ranní Svátek",1,0)+IF(Docházka!H5="Přesčas Ranní Svátek",1,0)+IF(Docházka!H6="Přesčas Ranní Svátek",1,0)+IF(Docházka!H7="Přesčas Ranní Svátek",1,0)+IF(Docházka!I3="Přesčas Ranní Svátek",1,0)+IF(Docházka!I4="Přesčas Ranní Svátek",1,0)+IF(Docházka!I5="Přesčas Ranní Svátek",1,0)+IF(Docházka!I6="Přesčas Ranní Svátek",1,0)+IF(Docházka!I7="Přesčas Ranní Svátek",1,0)+IF(Docházka!J3="Přesčas Ranní Svátek",1,0)+IF(Docházka!J4="Přesčas Ranní Svátek",1,0)+IF(Docházka!J5="Přesčas Ranní Svátek",1,0)+IF(Docházka!J6="Přesčas Ranní Svátek",1,0)+IF(Docházka!J7="Přesčas Ranní Svátek",1,0)+IF(Docházka!K3="Přesčas Ranní Svátek",1,0)+IF(Docházka!K4="Přesčas Ranní Svátek",1,0)+IF(Docházka!K5="Přesčas Ranní Svátek",1,0)+IF(Docházka!K6="Přesčas Ranní Svátek",1,0)+IF(Docházka!K7="Přesčas Ranní Svátek",1,0)+IF(Docházka!L3="Přesčas Ranní Svátek",1,0)+IF(Docházka!L4="Přesčas Ranní Svátek",1,0)+IF(Docházka!L5="Přesčas Ranní Svátek",1,0)+IF(Docházka!L6="Přesčas Ranní Svátek",1,0)+IF(Docházka!L7="Přesčas Ranní Svátek",1,0)</f>
        <v>0</v>
      </c>
      <c r="G32" s="5">
        <f>$H$52*($F$48+$D$1)*1.25++$B$1*$F$55</f>
        <v>1162.5</v>
      </c>
      <c r="H32" s="5">
        <f t="shared" si="0"/>
        <v>0</v>
      </c>
      <c r="I32" s="33">
        <f t="shared" si="7"/>
        <v>0</v>
      </c>
      <c r="J32" s="5">
        <f>$H$53*($F$48+$D$1)*1.25++$B$1*$F$55</f>
        <v>2615.625</v>
      </c>
      <c r="K32" s="5">
        <f t="shared" si="1"/>
        <v>0</v>
      </c>
      <c r="L32" s="5"/>
      <c r="M32" s="5"/>
    </row>
    <row r="33" spans="1:13" x14ac:dyDescent="0.25">
      <c r="A33" t="s">
        <v>103</v>
      </c>
      <c r="B33" s="22">
        <v>3.5</v>
      </c>
      <c r="C33" s="22" t="s">
        <v>113</v>
      </c>
      <c r="D33" s="5"/>
      <c r="E33" t="s">
        <v>178</v>
      </c>
      <c r="F33" s="33">
        <f>IF(Docházka!G3="Přesčas Odpolední Svátek",1,0)+IF(Docházka!G4="Přesčas Odpolední Svátek",1,0)+IF(Docházka!G5="Přesčas Odpolední Svátek",1,0)+IF(Docházka!G6="Přesčas Odpolední Svátek",1,0)+IF(Docházka!G7="Přesčas Odpolední Svátek",1,0)+IF(Docházka!H3="Přesčas Odpolední Svátek",1,0)+IF(Docházka!H4="Přesčas Odpolední Svátek",1,0)+IF(Docházka!H5="Přesčas Odpolední Svátek",1,0)+IF(Docházka!H6="Přesčas Odpolední Svátek",1,0)+IF(Docházka!H7="Přesčas Odpolední Svátek",1,0)+IF(Docházka!I3="Přesčas Odpolední Svátek",1,0)+IF(Docházka!I4="Přesčas Odpolední Svátek",1,0)+IF(Docházka!I5="Přesčas Odpolední Svátek",1,0)+IF(Docházka!I6="Přesčas Odpolední Svátek",1,0)+IF(Docházka!I7="Přesčas Odpolední Svátek",1,0)+IF(Docházka!J3="Přesčas Odpolední Svátek",1,0)+IF(Docházka!J4="Přesčas Odpolední Svátek",1,0)+IF(Docházka!J5="Přesčas Odpolední Svátek",1,0)+IF(Docházka!J6="Přesčas Odpolední Svátek",1,0)+IF(Docházka!J7="Přesčas Odpolední Svátek",1,0)+IF(Docházka!K3="Přesčas Odpolední Svátek",1,0)+IF(Docházka!K4="Přesčas Odpolední Svátek",1,0)+IF(Docházka!K5="Přesčas Odpolední Svátek",1,0)+IF(Docházka!K6="Přesčas Odpolední Svátek",1,0)+IF(Docházka!K7="Přesčas Odpolední Svátek",1,0)+IF(Docházka!L3="Přesčas Odpolední Svátek",1,0)+IF(Docházka!L4="Přesčas Odpolední Svátek",1,0)+IF(Docházka!L5="Přesčas Odpolední Svátek",1,0)+IF(Docházka!L6="Přesčas Odpolední Svátek",1,0)+IF(Docházka!L7="Přesčas Odpolední Svátek",1,0)</f>
        <v>0</v>
      </c>
      <c r="G33" s="5">
        <f>$H$52*($F$48+$D$2)*1.25+$B$1*$F$55</f>
        <v>1162.5</v>
      </c>
      <c r="H33" s="5">
        <f t="shared" si="0"/>
        <v>0</v>
      </c>
      <c r="I33" s="33">
        <f t="shared" si="8"/>
        <v>0</v>
      </c>
      <c r="J33" s="5">
        <f>$J$53*($F$48+$D$2)*1.25+$B$1*$F$55</f>
        <v>1875.625</v>
      </c>
      <c r="K33" s="5">
        <f t="shared" si="1"/>
        <v>0</v>
      </c>
      <c r="L33" s="5"/>
      <c r="M33" s="5"/>
    </row>
    <row r="34" spans="1:13" x14ac:dyDescent="0.25">
      <c r="A34" t="s">
        <v>104</v>
      </c>
      <c r="B34" s="22">
        <v>7.5</v>
      </c>
      <c r="C34" s="22" t="s">
        <v>113</v>
      </c>
      <c r="D34" s="5"/>
      <c r="E34" t="s">
        <v>179</v>
      </c>
      <c r="F34" s="33">
        <f>IF(Docházka!G3="Přesčas Noční Svátek",1,0)+IF(Docházka!G4="Přesčas Noční Svátek",1,0)+IF(Docházka!G5="Přesčas Noční Svátek",1,0)+IF(Docházka!G6="Přesčas Noční Svátek",1,0)+IF(Docházka!G7="Přesčas Noční Svátek",1,0)+IF(Docházka!H3="Přesčas Noční Svátek",1,0)+IF(Docházka!H4="Přesčas Noční Svátek",1,0)+IF(Docházka!H5="Přesčas Noční Svátek",1,0)+IF(Docházka!H6="Přesčas Noční Svátek",1,0)+IF(Docházka!H7="Přesčas Noční Svátek",1,0)+IF(Docházka!I3="Přesčas Noční Svátek",1,0)+IF(Docházka!I4="Přesčas Noční Svátek",1,0)+IF(Docházka!I5="Přesčas Noční Svátek",1,0)+IF(Docházka!I6="Přesčas Noční Svátek",1,0)+IF(Docházka!I7="Přesčas Noční Svátek",1,0)+IF(Docházka!J3="Přesčas Noční Svátek",1,0)+IF(Docházka!J4="Přesčas Noční Svátek",1,0)+IF(Docházka!J5="Přesčas Noční Svátek",1,0)+IF(Docházka!J6="Přesčas Noční Svátek",1,0)+IF(Docházka!J7="Přesčas Noční Svátek",1,0)+IF(Docházka!K3="Přesčas Noční Svátek",1,0)+IF(Docházka!K4="Přesčas Noční Svátek",1,0)+IF(Docházka!K5="Přesčas Noční Svátek",1,0)+IF(Docházka!K6="Přesčas Noční Svátek",1,0)+IF(Docházka!K7="Přesčas Noční Svátek",1,0)+IF(Docházka!L3="Přesčas Noční Svátek",1,0)+IF(Docházka!L4="Přesčas Noční Svátek",1,0)+IF(Docházka!L5="Přesčas Noční Svátek",1,0)+IF(Docházka!L6="Přesčas Noční Svátek",1,0)+IF(Docházka!L7="Přesčas Noční Svátek",1,0)</f>
        <v>0</v>
      </c>
      <c r="G34" s="5">
        <f>$H$52*($F$48+$D$3)*1.25+$B$1*$F$55</f>
        <v>1162.5</v>
      </c>
      <c r="H34" s="5">
        <f t="shared" si="0"/>
        <v>0</v>
      </c>
      <c r="I34" s="33">
        <f t="shared" si="12"/>
        <v>0</v>
      </c>
      <c r="J34" s="5">
        <f>$H$53*($F$48+$D$3)*1.25+$B$1*$F$55</f>
        <v>2896.875</v>
      </c>
      <c r="K34" s="5">
        <f t="shared" si="1"/>
        <v>0</v>
      </c>
      <c r="L34" s="5"/>
      <c r="M34" s="5"/>
    </row>
    <row r="35" spans="1:13" x14ac:dyDescent="0.25">
      <c r="A35" t="s">
        <v>105</v>
      </c>
      <c r="B35" s="22">
        <v>7.5</v>
      </c>
      <c r="C35" s="22" t="s">
        <v>118</v>
      </c>
      <c r="D35" s="5"/>
      <c r="E35" t="s">
        <v>177</v>
      </c>
      <c r="F35" s="2">
        <f>IF(Docházka!G8="Přesčas Ranní Svátek",1,0)+IF(Docházka!H8="Přesčas Ranní Svátek",1,0)+IF(Docházka!I8="Přesčas Ranní Svátek",1,0)+IF(Docházka!J8="Přesčas Ranní Svátek",1,0)+IF(Docházka!K8="Přesčas Ranní Svátek",1,0)+IF(Docházka!L8="Přesčas Ranní Svátek",1,0)</f>
        <v>0</v>
      </c>
      <c r="G35" s="5">
        <f>$H$52*($F$48+$D$1)*1.5++$B$1*$F$55</f>
        <v>1162.5</v>
      </c>
      <c r="H35" s="5">
        <f t="shared" si="0"/>
        <v>0</v>
      </c>
      <c r="I35" s="33">
        <f t="shared" si="7"/>
        <v>0</v>
      </c>
      <c r="J35" s="5">
        <f>$H$53*($F$48+$D$1)*1.5++$B$1*$F$55</f>
        <v>2906.25</v>
      </c>
      <c r="K35" s="5">
        <f t="shared" si="1"/>
        <v>0</v>
      </c>
      <c r="L35" s="5"/>
      <c r="M35" s="5"/>
    </row>
    <row r="36" spans="1:13" x14ac:dyDescent="0.25">
      <c r="A36" t="s">
        <v>106</v>
      </c>
      <c r="B36" s="22">
        <v>3.5</v>
      </c>
      <c r="C36" s="22" t="s">
        <v>118</v>
      </c>
      <c r="D36" s="5"/>
      <c r="E36" t="s">
        <v>178</v>
      </c>
      <c r="F36" s="2">
        <f>IF(Docházka!G8="Přesčas Odpolední Svátek",1,0)+IF(Docházka!H8="Přesčas Odpolední Svátek",1,0)+IF(Docházka!I8="Přesčas Odpolední Svátek",1,0)+IF(Docházka!J8="Přesčas Odpolední Svátek",1,0)+IF(Docházka!K8="Přesčas Odpolední Svátek",1,0)+IF(Docházka!L8="Přesčas Odpolední Svátek",1,0)</f>
        <v>0</v>
      </c>
      <c r="G36" s="5">
        <f>$H$52*($F$48+$D$2)*1.5+$B$1*$F$55</f>
        <v>1162.5</v>
      </c>
      <c r="H36" s="5">
        <f t="shared" si="0"/>
        <v>0</v>
      </c>
      <c r="I36" s="33">
        <f t="shared" si="8"/>
        <v>0</v>
      </c>
      <c r="J36" s="5">
        <f>$J$53*($F$48+$D$2)*1.5+$B$1*$F$55</f>
        <v>2018.25</v>
      </c>
      <c r="K36" s="5">
        <f t="shared" si="1"/>
        <v>0</v>
      </c>
      <c r="L36" s="5"/>
      <c r="M36" s="5"/>
    </row>
    <row r="37" spans="1:13" x14ac:dyDescent="0.25">
      <c r="A37" t="s">
        <v>107</v>
      </c>
      <c r="B37" s="22">
        <v>7.5</v>
      </c>
      <c r="C37" s="22" t="s">
        <v>118</v>
      </c>
      <c r="D37" s="5"/>
      <c r="E37" t="s">
        <v>179</v>
      </c>
      <c r="F37" s="2">
        <f>IF(Docházka!G8="Přesčas Noční Svátek",1,0)+IF(Docházka!H8="Přesčas Noční Svátek",1,0)+IF(Docházka!I8="Přesčas Noční Svátek",1,0)+IF(Docházka!J8="Přesčas Noční Svátek",1,0)+IF(Docházka!K8="Přesčas Noční Svátek",1,0)+IF(Docházka!L8="Přesčas Noční Svátek",1,0)</f>
        <v>0</v>
      </c>
      <c r="G37" s="5">
        <f>$H$52*($F$48+$D$3)*1.5+$B$1*$F$55</f>
        <v>1162.5</v>
      </c>
      <c r="H37" s="5">
        <f t="shared" si="0"/>
        <v>0</v>
      </c>
      <c r="I37" s="33">
        <f t="shared" si="12"/>
        <v>0</v>
      </c>
      <c r="J37" s="5">
        <f>$H$53*($F$48+$D$3)*1.5+$B$1*$F$55</f>
        <v>3243.75</v>
      </c>
      <c r="K37" s="5">
        <f t="shared" si="1"/>
        <v>0</v>
      </c>
      <c r="L37" s="5"/>
      <c r="M37" s="5"/>
    </row>
    <row r="38" spans="1:13" x14ac:dyDescent="0.25">
      <c r="A38" t="s">
        <v>108</v>
      </c>
      <c r="B38" s="22">
        <v>7.5</v>
      </c>
      <c r="C38" s="22" t="s">
        <v>118</v>
      </c>
      <c r="D38" s="5"/>
      <c r="E38" t="s">
        <v>177</v>
      </c>
      <c r="F38" s="2">
        <f>IF(Docházka!G9="Přesčas Ranní Svátek",1,0)+IF(Docházka!H9="Přesčas Ranní Svátek",1,0)+IF(Docházka!I9="Přesčas Ranní Svátek",1,0)+IF(Docházka!J9="Přesčas Ranní Svátek",1,0)+IF(Docházka!K9="Přesčas Ranní Svátek",1,0)+IF(Docházka!L9="Přesčas Ranní Svátek",1,0)</f>
        <v>0</v>
      </c>
      <c r="G38" s="5">
        <f>$H$52*($F$48+$D$1)*1.5++$B$1*$F$55</f>
        <v>1162.5</v>
      </c>
      <c r="H38" s="5">
        <f t="shared" si="0"/>
        <v>0</v>
      </c>
      <c r="I38" s="33">
        <f t="shared" si="7"/>
        <v>0</v>
      </c>
      <c r="J38" s="5">
        <f>$H$53*($F$48+$D$1)*1.5++$B$1*$F$55</f>
        <v>2906.25</v>
      </c>
      <c r="K38" s="5">
        <f t="shared" si="1"/>
        <v>0</v>
      </c>
      <c r="L38" s="5"/>
      <c r="M38" s="5"/>
    </row>
    <row r="39" spans="1:13" x14ac:dyDescent="0.25">
      <c r="A39" t="s">
        <v>109</v>
      </c>
      <c r="B39" s="22">
        <v>3.5</v>
      </c>
      <c r="C39" s="22" t="s">
        <v>118</v>
      </c>
      <c r="D39" s="5"/>
      <c r="E39" t="s">
        <v>178</v>
      </c>
      <c r="F39" s="2">
        <f>IF(Docházka!G9="Přesčas Odpolední Svátek",1,0)+IF(Docházka!H9="Přesčas Odpolední Svátek",1,0)+IF(Docházka!I9="Přesčas Odpolední Svátek",1,0)+IF(Docházka!J9="Přesčas Odpolední Svátek",1,0)+IF(Docházka!K9="Přesčas Odpolední Svátek",1,0)+IF(Docházka!L9="Přesčas Odpolední Svátek",1,0)</f>
        <v>0</v>
      </c>
      <c r="G39" s="5">
        <f>$H$52*($F$48+$D$2)*1.5+$B$1*$F$55</f>
        <v>1162.5</v>
      </c>
      <c r="H39" s="5">
        <f t="shared" si="0"/>
        <v>0</v>
      </c>
      <c r="I39" s="33">
        <f t="shared" si="8"/>
        <v>0</v>
      </c>
      <c r="J39" s="5">
        <f>$J$53*($F$48+$D$2)*1.5+$B$1*$F$55</f>
        <v>2018.25</v>
      </c>
      <c r="K39" s="5">
        <f t="shared" si="1"/>
        <v>0</v>
      </c>
      <c r="L39" s="5"/>
      <c r="M39" s="5"/>
    </row>
    <row r="40" spans="1:13" x14ac:dyDescent="0.25">
      <c r="A40" t="s">
        <v>110</v>
      </c>
      <c r="B40" s="22">
        <v>7.5</v>
      </c>
      <c r="C40" s="22" t="s">
        <v>118</v>
      </c>
      <c r="D40" s="5"/>
      <c r="E40" t="s">
        <v>179</v>
      </c>
      <c r="F40" s="2">
        <f>IF(Docházka!G9="Přesčas Noční Svátek",1,0)+IF(Docházka!H9="Přesčas Noční Svátek",1,0)+IF(Docházka!I9="Přesčas Noční Svátek",1,0)+IF(Docházka!J9="Přesčas Noční Svátek",1,0)+IF(Docházka!K9="Přesčas Noční Svátek",1,0)+IF(Docházka!L9="Přesčas Noční Svátek",1,0)</f>
        <v>0</v>
      </c>
      <c r="G40" s="5">
        <f>$H$52*($F$48+$D$3)*1.5+$B$1*$F$55</f>
        <v>1162.5</v>
      </c>
      <c r="H40" s="5">
        <f t="shared" si="0"/>
        <v>0</v>
      </c>
      <c r="I40" s="33">
        <f t="shared" si="12"/>
        <v>0</v>
      </c>
      <c r="J40" s="5">
        <f>$H$53*($F$48+$D$3)*1.5+$B$1*$F$55</f>
        <v>3243.75</v>
      </c>
      <c r="K40" s="5">
        <f t="shared" si="1"/>
        <v>0</v>
      </c>
      <c r="L40" s="5"/>
      <c r="M40" s="5"/>
    </row>
    <row r="41" spans="1:13" x14ac:dyDescent="0.25">
      <c r="A41" t="s">
        <v>166</v>
      </c>
      <c r="B41" s="22">
        <v>0</v>
      </c>
      <c r="C41" s="22">
        <v>0</v>
      </c>
      <c r="D41" s="5"/>
      <c r="E41" t="s">
        <v>180</v>
      </c>
      <c r="F41" s="18">
        <f>IF(Docházka!G3="Volno",1,0)+IF(Docházka!G4="Volno",1,0)+IF(Docházka!G5="Volno",1,0)+IF(Docházka!G6="Volno",1,0)+IF(Docházka!G7="Volno",1,0)+IF(Docházka!H3="Volno",1,0)+IF(Docházka!H4="Volno",1,0)+IF(Docházka!H5="Volno",1,0)+IF(Docházka!H6="Volno",1,0)+IF(Docházka!H7="Volno",1,0)+IF(Docházka!I3="Volno",1,0)+IF(Docházka!I4="Volno",1,0)+IF(Docházka!I5="Volno",1,0)+IF(Docházka!I6="Volno",1,0)+IF(Docházka!I7="Volno",1,0)+IF(Docházka!J3="Volno",1,0)+IF(Docházka!J4="Volno",1,0)+IF(Docházka!J5="Volno",1,0)+IF(Docházka!J6="Volno",1,0)+IF(Docházka!J7="Volno",1,0)+IF(Docházka!K3="Volno",1,0)+IF(Docházka!K4="Volno",1,0)+IF(Docházka!K5="Volno",1,0)+IF(Docházka!K6="Volno",1,0)+IF(Docházka!K7="Volno",1,0)+IF(Docházka!L3="Volno",1,0)+IF(Docházka!L4="Volno",1,0)+IF(Docházka!L5="Volno",1,0)+IF(Docházka!L6="Volno",1,0)+IF(Docházka!L7="Volno",1,0)+IF(Docházka!G8="Volno",1,0)+IF(Docházka!G9="Volno",1,0)+IF(Docházka!H8="Volno",1,0)+IF(Docházka!H9="Volno",1,0)+IF(Docházka!I8="Volno",1,0)+IF(Docházka!I9="Volno",1,0)+IF(Docházka!J8="Volno",1,0)+IF(Docházka!J9="Volno",1,0)+IF(Docházka!K8="Volno",1,0)+IF(Docházka!K9="Volno",1,0)+IF(Docházka!L8="Volno",1,0)+IF(Docházka!L9="Volno",1,0)</f>
        <v>0</v>
      </c>
      <c r="G41" s="5"/>
      <c r="H41" s="42">
        <f>SUM(H1:H40)</f>
        <v>0</v>
      </c>
      <c r="I41" s="18">
        <f>F41</f>
        <v>0</v>
      </c>
      <c r="K41" s="42">
        <f>SUM(K1:K40)</f>
        <v>0</v>
      </c>
      <c r="M41" s="5"/>
    </row>
    <row r="42" spans="1:13" x14ac:dyDescent="0.25">
      <c r="A42" t="s">
        <v>182</v>
      </c>
      <c r="B42" s="32">
        <v>100</v>
      </c>
      <c r="G42" t="s">
        <v>200</v>
      </c>
      <c r="J42" t="s">
        <v>201</v>
      </c>
    </row>
    <row r="43" spans="1:13" x14ac:dyDescent="0.25">
      <c r="A43" t="s">
        <v>21</v>
      </c>
      <c r="B43" s="32">
        <v>105</v>
      </c>
    </row>
    <row r="44" spans="1:13" x14ac:dyDescent="0.25">
      <c r="A44" t="s">
        <v>22</v>
      </c>
      <c r="B44" s="32">
        <v>120</v>
      </c>
    </row>
    <row r="45" spans="1:13" x14ac:dyDescent="0.25">
      <c r="A45" t="s">
        <v>23</v>
      </c>
      <c r="B45" s="32">
        <v>132</v>
      </c>
    </row>
    <row r="46" spans="1:13" x14ac:dyDescent="0.25">
      <c r="A46" t="s">
        <v>24</v>
      </c>
      <c r="B46" s="32">
        <v>145</v>
      </c>
    </row>
    <row r="47" spans="1:13" x14ac:dyDescent="0.25">
      <c r="A47" t="s">
        <v>25</v>
      </c>
      <c r="B47" s="32">
        <v>155</v>
      </c>
    </row>
    <row r="48" spans="1:13" x14ac:dyDescent="0.25">
      <c r="A48" t="s">
        <v>26</v>
      </c>
      <c r="B48" s="32">
        <v>167</v>
      </c>
      <c r="F48" s="5">
        <f>Docházka!C5</f>
        <v>155</v>
      </c>
    </row>
    <row r="49" spans="1:11" x14ac:dyDescent="0.25">
      <c r="A49" t="s">
        <v>119</v>
      </c>
      <c r="B49" s="32">
        <v>189</v>
      </c>
      <c r="D49" t="s">
        <v>0</v>
      </c>
      <c r="F49" s="34">
        <f>SUM(F1:F9,F14:F40)</f>
        <v>0</v>
      </c>
    </row>
    <row r="50" spans="1:11" x14ac:dyDescent="0.25">
      <c r="A50" t="s">
        <v>69</v>
      </c>
      <c r="F50" s="34">
        <f>Docházka!K11</f>
        <v>0</v>
      </c>
      <c r="G50" t="s">
        <v>183</v>
      </c>
      <c r="H50" s="47">
        <f>F50*F55</f>
        <v>0</v>
      </c>
    </row>
    <row r="51" spans="1:11" x14ac:dyDescent="0.25">
      <c r="A51" t="s">
        <v>9</v>
      </c>
      <c r="F51" s="35">
        <f>Docházka!G11</f>
        <v>0</v>
      </c>
      <c r="G51" s="6">
        <f>F51*F57</f>
        <v>0</v>
      </c>
    </row>
    <row r="52" spans="1:11" x14ac:dyDescent="0.25">
      <c r="A52" t="s">
        <v>181</v>
      </c>
      <c r="B52" s="37">
        <v>8</v>
      </c>
      <c r="C52" s="22">
        <v>12</v>
      </c>
      <c r="D52" s="22"/>
      <c r="F52" s="34">
        <f>Docházka!C2</f>
        <v>12</v>
      </c>
      <c r="G52" t="s">
        <v>183</v>
      </c>
      <c r="H52" s="2">
        <f>IF(F52=8,F52-F53*F54,0)</f>
        <v>0</v>
      </c>
      <c r="I52" t="s">
        <v>183</v>
      </c>
      <c r="J52" s="2">
        <f>IF(F52=12,F52-F53*F54,0)</f>
        <v>11</v>
      </c>
      <c r="K52" t="s">
        <v>183</v>
      </c>
    </row>
    <row r="53" spans="1:11" x14ac:dyDescent="0.25">
      <c r="A53" t="s">
        <v>195</v>
      </c>
      <c r="B53" s="22">
        <v>0</v>
      </c>
      <c r="C53" s="22">
        <v>0.5</v>
      </c>
      <c r="D53" s="22">
        <v>1</v>
      </c>
      <c r="F53" s="34">
        <f>Docházka!C3</f>
        <v>0.5</v>
      </c>
      <c r="G53" t="s">
        <v>183</v>
      </c>
      <c r="H53" s="2">
        <f>J52-3.5</f>
        <v>7.5</v>
      </c>
      <c r="I53" t="s">
        <v>183</v>
      </c>
      <c r="J53" s="2">
        <f>J52-H53</f>
        <v>3.5</v>
      </c>
      <c r="K53" t="s">
        <v>183</v>
      </c>
    </row>
    <row r="54" spans="1:11" x14ac:dyDescent="0.25">
      <c r="A54" t="s">
        <v>198</v>
      </c>
      <c r="B54" s="22">
        <v>1</v>
      </c>
      <c r="C54" s="22">
        <v>2</v>
      </c>
      <c r="F54" s="34">
        <f>IF(F52&lt;=4,0,IF(F52&gt;=12,2,1))</f>
        <v>2</v>
      </c>
      <c r="G54" t="s">
        <v>111</v>
      </c>
    </row>
    <row r="55" spans="1:11" x14ac:dyDescent="0.25">
      <c r="A55" t="s">
        <v>60</v>
      </c>
      <c r="F55" s="40">
        <f>IF(SUM(Docházka!H14:H16)=0,F48,SUM(Docházka!H14:H16))/IF(SUM(Docházka!I14:I16)=0,1,SUM(Docházka!I14:I16))</f>
        <v>155</v>
      </c>
    </row>
    <row r="56" spans="1:11" x14ac:dyDescent="0.25">
      <c r="A56" t="s">
        <v>31</v>
      </c>
      <c r="F56" s="41">
        <f>IF(F52=8,H41,0)+IF(F52=12,K41,0)+H50+G51</f>
        <v>0</v>
      </c>
      <c r="H56" s="7"/>
    </row>
    <row r="57" spans="1:11" x14ac:dyDescent="0.25">
      <c r="A57" t="s">
        <v>30</v>
      </c>
      <c r="F57" s="6">
        <f>(F49*(F52-F53*F54)+F50)*F48</f>
        <v>0</v>
      </c>
      <c r="H57" s="7"/>
    </row>
    <row r="58" spans="1:11" x14ac:dyDescent="0.25">
      <c r="A58" t="s">
        <v>199</v>
      </c>
      <c r="F58" s="6">
        <f>F56+F60+F61</f>
        <v>0</v>
      </c>
    </row>
    <row r="59" spans="1:11" x14ac:dyDescent="0.25">
      <c r="A59" t="s">
        <v>32</v>
      </c>
      <c r="F59" s="38">
        <f>F56-F62-F63-F64</f>
        <v>2070</v>
      </c>
      <c r="H59" s="7"/>
    </row>
    <row r="60" spans="1:11" x14ac:dyDescent="0.25">
      <c r="A60" s="43" t="s">
        <v>204</v>
      </c>
      <c r="C60" s="44">
        <v>0.248</v>
      </c>
      <c r="F60" s="45">
        <f>F56*C60</f>
        <v>0</v>
      </c>
    </row>
    <row r="61" spans="1:11" x14ac:dyDescent="0.25">
      <c r="A61" s="43" t="s">
        <v>205</v>
      </c>
      <c r="C61" s="44">
        <v>0.09</v>
      </c>
      <c r="F61" s="45">
        <f>F56*C61</f>
        <v>0</v>
      </c>
    </row>
    <row r="62" spans="1:11" x14ac:dyDescent="0.25">
      <c r="A62" s="43" t="s">
        <v>202</v>
      </c>
      <c r="C62" s="44">
        <v>6.5000000000000002E-2</v>
      </c>
      <c r="F62" s="46">
        <f>F56*C62</f>
        <v>0</v>
      </c>
    </row>
    <row r="63" spans="1:11" x14ac:dyDescent="0.25">
      <c r="A63" s="43" t="s">
        <v>203</v>
      </c>
      <c r="C63" s="44">
        <v>4.4999999999999998E-2</v>
      </c>
      <c r="F63" s="46">
        <f>F56*C63</f>
        <v>0</v>
      </c>
    </row>
    <row r="64" spans="1:11" x14ac:dyDescent="0.25">
      <c r="A64" s="43" t="s">
        <v>206</v>
      </c>
      <c r="C64" s="44">
        <v>0.15</v>
      </c>
      <c r="F64" s="41">
        <f>ROUND(F58,-2)*C64-SUM(F67:F71,E72:E77)-D66</f>
        <v>-2070</v>
      </c>
    </row>
    <row r="66" spans="1:6" x14ac:dyDescent="0.25">
      <c r="A66" s="4" t="s">
        <v>33</v>
      </c>
      <c r="C66" s="4" t="s">
        <v>34</v>
      </c>
      <c r="D66" s="5">
        <v>2070</v>
      </c>
    </row>
    <row r="67" spans="1:6" x14ac:dyDescent="0.25">
      <c r="A67" s="4" t="s">
        <v>35</v>
      </c>
      <c r="C67" s="4" t="s">
        <v>36</v>
      </c>
      <c r="D67" s="5">
        <v>4140</v>
      </c>
      <c r="F67" s="5">
        <f>IF(Docházka!C24,D67,0)</f>
        <v>0</v>
      </c>
    </row>
    <row r="68" spans="1:6" x14ac:dyDescent="0.25">
      <c r="A68" s="4" t="s">
        <v>37</v>
      </c>
      <c r="C68" s="4" t="s">
        <v>38</v>
      </c>
      <c r="D68" s="5">
        <v>210</v>
      </c>
      <c r="F68" s="5">
        <f>IF(Docházka!C25,D68,0)</f>
        <v>0</v>
      </c>
    </row>
    <row r="69" spans="1:6" x14ac:dyDescent="0.25">
      <c r="A69" s="4" t="s">
        <v>39</v>
      </c>
      <c r="C69" s="4" t="s">
        <v>40</v>
      </c>
      <c r="D69" s="5">
        <v>420</v>
      </c>
      <c r="F69" s="5">
        <f>IF(Docházka!C26,D69,0)</f>
        <v>0</v>
      </c>
    </row>
    <row r="70" spans="1:6" x14ac:dyDescent="0.25">
      <c r="A70" s="4" t="s">
        <v>41</v>
      </c>
      <c r="C70" s="4" t="s">
        <v>42</v>
      </c>
      <c r="D70" s="5">
        <v>1345</v>
      </c>
      <c r="F70" s="5">
        <f>IF(Docházka!C27,D70,0)</f>
        <v>0</v>
      </c>
    </row>
    <row r="71" spans="1:6" x14ac:dyDescent="0.25">
      <c r="A71" s="4" t="s">
        <v>43</v>
      </c>
      <c r="C71" s="4" t="s">
        <v>44</v>
      </c>
      <c r="D71" s="5">
        <v>335</v>
      </c>
      <c r="F71" s="5">
        <f>IF(Docházka!C28,D71,0)</f>
        <v>0</v>
      </c>
    </row>
    <row r="72" spans="1:6" x14ac:dyDescent="0.25">
      <c r="A72" s="4" t="s">
        <v>45</v>
      </c>
      <c r="C72" s="4" t="s">
        <v>46</v>
      </c>
      <c r="D72" s="5">
        <v>1117</v>
      </c>
      <c r="E72" s="5">
        <f>IF(Docházka!C29=1,D72,0)</f>
        <v>0</v>
      </c>
    </row>
    <row r="73" spans="1:6" x14ac:dyDescent="0.25">
      <c r="A73" s="4" t="s">
        <v>47</v>
      </c>
      <c r="C73" s="4" t="s">
        <v>48</v>
      </c>
      <c r="D73" s="5">
        <v>1617</v>
      </c>
      <c r="E73" s="5">
        <f>IF(Docházka!C29=2,D73,0)</f>
        <v>0</v>
      </c>
    </row>
    <row r="74" spans="1:6" x14ac:dyDescent="0.25">
      <c r="A74" s="4" t="s">
        <v>49</v>
      </c>
      <c r="C74" s="4" t="s">
        <v>50</v>
      </c>
      <c r="D74" s="5">
        <v>1717</v>
      </c>
      <c r="E74" s="5">
        <f>IF(Docházka!C29&gt;=3,D74*Docházka!C29,0)</f>
        <v>0</v>
      </c>
    </row>
    <row r="75" spans="1:6" x14ac:dyDescent="0.25">
      <c r="A75" s="4" t="s">
        <v>51</v>
      </c>
      <c r="C75" s="4" t="s">
        <v>52</v>
      </c>
      <c r="D75" s="5">
        <v>2234</v>
      </c>
      <c r="E75" s="5">
        <f>IF(Docházka!C30=1,D75,0)</f>
        <v>0</v>
      </c>
    </row>
    <row r="76" spans="1:6" x14ac:dyDescent="0.25">
      <c r="A76" s="4" t="s">
        <v>53</v>
      </c>
      <c r="C76" s="4" t="s">
        <v>54</v>
      </c>
      <c r="D76" s="5">
        <v>2834</v>
      </c>
      <c r="E76" s="5">
        <f>IF(Docházka!C30=2,D76,0)</f>
        <v>0</v>
      </c>
    </row>
    <row r="77" spans="1:6" x14ac:dyDescent="0.25">
      <c r="A77" s="4" t="s">
        <v>55</v>
      </c>
      <c r="C77" s="4" t="s">
        <v>56</v>
      </c>
      <c r="D77" s="5">
        <v>3434</v>
      </c>
      <c r="E77" s="5">
        <f>IF(Docházka!C30&gt;=3,D77*Docházka!C30,0)</f>
        <v>0</v>
      </c>
    </row>
  </sheetData>
  <sheetProtection algorithmName="SHA-512" hashValue="TcNfxPmSgD6mmXLp9GhzSwqYtsDuiEL9pjPKl363MYqEzgxU6kYgPj3F+me6EAOT9TJ9ztHY+CSq1lEUa/1LJA==" saltValue="DWCAm6cJpDHZjR1RWhxiVA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14" sqref="C14"/>
    </sheetView>
  </sheetViews>
  <sheetFormatPr defaultRowHeight="15" x14ac:dyDescent="0.25"/>
  <cols>
    <col min="1" max="1" width="10.140625" bestFit="1" customWidth="1"/>
    <col min="2" max="2" width="10.140625" customWidth="1"/>
    <col min="3" max="3" width="18.5703125" bestFit="1" customWidth="1"/>
    <col min="4" max="4" width="11.28515625" customWidth="1"/>
    <col min="5" max="5" width="12.140625" customWidth="1"/>
    <col min="6" max="6" width="11.42578125" customWidth="1"/>
    <col min="11" max="11" width="9.42578125" customWidth="1"/>
    <col min="12" max="12" width="10.140625" bestFit="1" customWidth="1"/>
    <col min="14" max="14" width="10.140625" bestFit="1" customWidth="1"/>
    <col min="15" max="15" width="11" customWidth="1"/>
  </cols>
  <sheetData>
    <row r="1" spans="1:15" x14ac:dyDescent="0.25">
      <c r="A1" s="20">
        <v>43831</v>
      </c>
      <c r="B1" s="21">
        <v>1</v>
      </c>
      <c r="C1" t="s">
        <v>71</v>
      </c>
      <c r="D1">
        <v>31</v>
      </c>
      <c r="E1" s="20"/>
      <c r="F1" t="str">
        <f>VLOOKUP(WEEKDAY(A1,2),$G$1:$H$7,2,FALSE)</f>
        <v>Středa</v>
      </c>
      <c r="G1">
        <v>1</v>
      </c>
      <c r="H1" t="s">
        <v>10</v>
      </c>
      <c r="J1" t="s">
        <v>70</v>
      </c>
    </row>
    <row r="2" spans="1:15" x14ac:dyDescent="0.25">
      <c r="A2" s="20">
        <v>43862</v>
      </c>
      <c r="B2" s="21">
        <v>2</v>
      </c>
      <c r="C2" t="s">
        <v>72</v>
      </c>
      <c r="D2">
        <v>29</v>
      </c>
      <c r="E2" s="20"/>
      <c r="F2" t="str">
        <f t="shared" ref="F2:F12" si="0">VLOOKUP(WEEKDAY(A2,2),$G$1:$H$7,2,FALSE)</f>
        <v>Sobota</v>
      </c>
      <c r="G2">
        <v>2</v>
      </c>
      <c r="H2" t="s">
        <v>11</v>
      </c>
    </row>
    <row r="3" spans="1:15" x14ac:dyDescent="0.25">
      <c r="A3" s="20">
        <v>43891</v>
      </c>
      <c r="B3" s="21">
        <v>3</v>
      </c>
      <c r="C3" t="s">
        <v>73</v>
      </c>
      <c r="D3">
        <v>31</v>
      </c>
      <c r="E3" s="20"/>
      <c r="F3" t="str">
        <f t="shared" si="0"/>
        <v>Neděle</v>
      </c>
      <c r="G3">
        <v>3</v>
      </c>
      <c r="H3" t="s">
        <v>12</v>
      </c>
    </row>
    <row r="4" spans="1:15" x14ac:dyDescent="0.25">
      <c r="A4" s="20">
        <v>43922</v>
      </c>
      <c r="B4" s="21">
        <v>4</v>
      </c>
      <c r="C4" t="s">
        <v>74</v>
      </c>
      <c r="D4">
        <v>30</v>
      </c>
      <c r="E4" s="20"/>
      <c r="F4" t="str">
        <f t="shared" si="0"/>
        <v>Středa</v>
      </c>
      <c r="G4">
        <v>4</v>
      </c>
      <c r="H4" t="s">
        <v>13</v>
      </c>
    </row>
    <row r="5" spans="1:15" x14ac:dyDescent="0.25">
      <c r="A5" s="20">
        <v>43952</v>
      </c>
      <c r="B5" s="21">
        <v>5</v>
      </c>
      <c r="C5" t="s">
        <v>75</v>
      </c>
      <c r="D5">
        <v>31</v>
      </c>
      <c r="E5" s="20"/>
      <c r="F5" t="str">
        <f t="shared" si="0"/>
        <v>Pátek</v>
      </c>
      <c r="G5">
        <v>5</v>
      </c>
      <c r="H5" t="s">
        <v>14</v>
      </c>
    </row>
    <row r="6" spans="1:15" x14ac:dyDescent="0.25">
      <c r="A6" s="20">
        <v>43983</v>
      </c>
      <c r="B6" s="21">
        <v>6</v>
      </c>
      <c r="C6" t="s">
        <v>76</v>
      </c>
      <c r="D6">
        <v>30</v>
      </c>
      <c r="E6" s="20"/>
      <c r="F6" t="str">
        <f t="shared" si="0"/>
        <v>Pondělí</v>
      </c>
      <c r="G6">
        <v>6</v>
      </c>
      <c r="H6" t="s">
        <v>15</v>
      </c>
    </row>
    <row r="7" spans="1:15" x14ac:dyDescent="0.25">
      <c r="A7" s="20">
        <v>44013</v>
      </c>
      <c r="B7" s="21">
        <v>7</v>
      </c>
      <c r="C7" t="s">
        <v>77</v>
      </c>
      <c r="D7">
        <v>31</v>
      </c>
      <c r="E7" s="20"/>
      <c r="F7" t="str">
        <f t="shared" si="0"/>
        <v>Středa</v>
      </c>
      <c r="G7">
        <v>7</v>
      </c>
      <c r="H7" t="s">
        <v>16</v>
      </c>
      <c r="L7" s="20"/>
    </row>
    <row r="8" spans="1:15" x14ac:dyDescent="0.25">
      <c r="A8" s="20">
        <v>44044</v>
      </c>
      <c r="B8" s="21">
        <v>8</v>
      </c>
      <c r="C8" t="s">
        <v>78</v>
      </c>
      <c r="D8">
        <v>31</v>
      </c>
      <c r="E8" s="20"/>
      <c r="F8" t="str">
        <f t="shared" si="0"/>
        <v>Sobota</v>
      </c>
      <c r="L8" s="20"/>
      <c r="N8" s="19"/>
      <c r="O8" s="20"/>
    </row>
    <row r="9" spans="1:15" x14ac:dyDescent="0.25">
      <c r="A9" s="20">
        <v>44075</v>
      </c>
      <c r="B9" s="21">
        <v>9</v>
      </c>
      <c r="C9" t="s">
        <v>79</v>
      </c>
      <c r="D9">
        <v>30</v>
      </c>
      <c r="E9" s="20"/>
      <c r="F9" t="str">
        <f t="shared" si="0"/>
        <v>Úterý</v>
      </c>
      <c r="G9">
        <f>IF($C$15=1,1,IF($C$15=3,1,IF($C$15=5,1,IF($C$15=7,1,IF($C$15=8,1,IF($C$15=10,1,IF($C$15=12,1,IF($C$15=2,2,IF($C$15=4,3,IF($C$15=6,3,IF($C$15=9,3,IF($C$15=11,3,"Nejde!"))))))))))))</f>
        <v>1</v>
      </c>
      <c r="H9" t="str">
        <f>IF($G$9=1,IF($C$14&lt;32,"OK","Špatný den"),IF($G$9=2,IF($C$14&lt;30,"OK","Špatný den"),IF($G$9=3,IF($C$14&lt;31,"OK","Špatný den"),"Špatný den")))</f>
        <v>OK</v>
      </c>
      <c r="L9" s="20"/>
      <c r="N9" s="19"/>
      <c r="O9" s="20"/>
    </row>
    <row r="10" spans="1:15" x14ac:dyDescent="0.25">
      <c r="A10" s="20">
        <v>44105</v>
      </c>
      <c r="B10" s="21">
        <v>10</v>
      </c>
      <c r="C10" t="s">
        <v>80</v>
      </c>
      <c r="D10">
        <v>31</v>
      </c>
      <c r="E10" s="20"/>
      <c r="F10" t="str">
        <f t="shared" si="0"/>
        <v>Čtvrtek</v>
      </c>
      <c r="N10" s="20"/>
    </row>
    <row r="11" spans="1:15" x14ac:dyDescent="0.25">
      <c r="A11" s="20">
        <v>44136</v>
      </c>
      <c r="B11" s="21">
        <v>11</v>
      </c>
      <c r="C11" t="s">
        <v>81</v>
      </c>
      <c r="D11">
        <v>30</v>
      </c>
      <c r="E11" s="20"/>
      <c r="F11" t="str">
        <f t="shared" si="0"/>
        <v>Neděle</v>
      </c>
    </row>
    <row r="12" spans="1:15" x14ac:dyDescent="0.25">
      <c r="A12" s="20">
        <v>44166</v>
      </c>
      <c r="B12" s="21">
        <v>12</v>
      </c>
      <c r="C12" t="s">
        <v>82</v>
      </c>
      <c r="D12">
        <v>31</v>
      </c>
      <c r="E12" s="20"/>
      <c r="F12" t="str">
        <f t="shared" si="0"/>
        <v>Úterý</v>
      </c>
    </row>
    <row r="14" spans="1:15" x14ac:dyDescent="0.25">
      <c r="B14" t="s">
        <v>83</v>
      </c>
      <c r="C14">
        <v>30</v>
      </c>
      <c r="D14" t="str">
        <f>IF($G$9=1,IF($C$14&lt;32,"OK","Špatný den"),IF($G$9=2,IF($C$14&lt;30,"OK","Špatný den"),IF($G$9=3,IF($C$14&lt;31,"OK","Špatný den"),"Špatný den")))</f>
        <v>OK</v>
      </c>
    </row>
    <row r="15" spans="1:15" x14ac:dyDescent="0.25">
      <c r="B15" t="s">
        <v>84</v>
      </c>
      <c r="C15">
        <v>1</v>
      </c>
    </row>
    <row r="16" spans="1:15" x14ac:dyDescent="0.25">
      <c r="B16" t="s">
        <v>85</v>
      </c>
      <c r="C16">
        <v>2020</v>
      </c>
    </row>
    <row r="17" spans="1:5" x14ac:dyDescent="0.25">
      <c r="B17" t="s">
        <v>86</v>
      </c>
      <c r="C17" t="s">
        <v>84</v>
      </c>
      <c r="D17" t="s">
        <v>87</v>
      </c>
      <c r="E17" t="s">
        <v>83</v>
      </c>
    </row>
    <row r="18" spans="1:5" x14ac:dyDescent="0.25">
      <c r="B18" s="20">
        <f>DATE(C16,C15,C14)</f>
        <v>43860</v>
      </c>
      <c r="C18" t="str">
        <f>VLOOKUP(C15,B1:C12,2,FALSE)</f>
        <v>Leden</v>
      </c>
      <c r="D18">
        <f>VLOOKUP(C18,C1:D12,2,FALSE)</f>
        <v>31</v>
      </c>
      <c r="E18" t="str">
        <f>VLOOKUP(WEEKDAY(B18,2),$G$1:$H$7,2,FALSE)</f>
        <v>Čtvrtek</v>
      </c>
    </row>
    <row r="20" spans="1:5" x14ac:dyDescent="0.25">
      <c r="A20" s="20"/>
      <c r="B20" s="21"/>
    </row>
    <row r="21" spans="1:5" x14ac:dyDescent="0.25">
      <c r="A21" s="20"/>
      <c r="B21" s="21"/>
    </row>
    <row r="22" spans="1:5" x14ac:dyDescent="0.25">
      <c r="A22" s="20"/>
      <c r="B22" s="21"/>
    </row>
    <row r="23" spans="1:5" x14ac:dyDescent="0.25">
      <c r="A23" s="20"/>
      <c r="B23" s="21"/>
    </row>
    <row r="24" spans="1:5" x14ac:dyDescent="0.25">
      <c r="A24" s="20"/>
      <c r="B24" s="21"/>
    </row>
    <row r="25" spans="1:5" x14ac:dyDescent="0.25">
      <c r="A25" s="20"/>
      <c r="B25" s="21"/>
    </row>
    <row r="26" spans="1:5" x14ac:dyDescent="0.25">
      <c r="A26" s="20"/>
      <c r="B26" s="21"/>
    </row>
  </sheetData>
  <sheetProtection algorithmName="SHA-512" hashValue="q3L0SGKNZJCOKzhz7F6POqwLk9HJS2sUkDl5+bGcrJ7eFp/VlkGCRRLudAOd+IIe2uD4VgxNHNR+7URJM0pQAw==" saltValue="OxyfLYqEkER4gvpM574v4w==" spinCount="100000" sheet="1" objects="1" scenarios="1"/>
  <dataValidations disablePrompts="1" count="1">
    <dataValidation type="list" allowBlank="1" showInputMessage="1" showErrorMessage="1" promptTitle="Dny" sqref="H11">
      <formula1>$J$3:$AM$3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c I m / U K W T 5 s O n A A A A + A A A A B I A H A B D b 2 5 m a W c v U G F j a 2 F n Z S 5 4 b W w g o h g A K K A U A A A A A A A A A A A A A A A A A A A A A A A A A A A A h Y + 9 D o I w G E V f h X S n f y p R 8 1 E G V k l M T I x x I 6 V C I x R D i + X d H H w k X 0 E S R d 0 c 7 8 k Z z n 3 c 7 p A M T R 1 c V W d 1 a 2 L E M E W B M r I t t C l j 1 L t T u E S J g G 0 u z 3 m p g l E 2 d j 3 Y I k a V c 5 c 1 I d 5 7 7 G e 4 7 U r C K W X k k G 1 2 s l J N j j 6 y / i + H 2 l i X G 6 m Q g P 0 r R n A c M b x g K 4 7 n E Q M y Y c i 0 + S p 8 L M Y U y A + E t K 9 d 3 y k h b Z g e g U w T y P u F e A J Q S w M E F A A C A A g A c I m /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C J v 1 A o i k e 4 D g A A A B E A A A A T A B w A R m 9 y b X V s Y X M v U 2 V j d G l v b j E u b S C i G A A o o B Q A A A A A A A A A A A A A A A A A A A A A A A A A A A A r T k 0 u y c z P U w i G 0 I b W A F B L A Q I t A B Q A A g A I A H C J v 1 C l k + b D p w A A A P g A A A A S A A A A A A A A A A A A A A A A A A A A A A B D b 2 5 m a W c v U G F j a 2 F n Z S 5 4 b W x Q S w E C L Q A U A A I A C A B w i b 9 Q D 8 r p q 6 Q A A A D p A A A A E w A A A A A A A A A A A A A A A A D z A A A A W 0 N v b n R l b n R f V H l w Z X N d L n h t b F B L A Q I t A B Q A A g A I A H C J v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X h p N Q W F O t T Y I J o / Q A A 6 Z c A A A A A A I A A A A A A B B m A A A A A Q A A I A A A A L 3 / 5 r u T a o F p 3 U H D 7 V u B Y l 8 j 7 k e v V + C / J c 0 S p S / 4 0 g 7 k A A A A A A 6 A A A A A A g A A I A A A A B Y v p s 8 i 9 a q C F W w x c n 5 K D 6 i B T e I E p Z 1 u V T v 2 Z w 2 m E Z s 0 U A A A A O q g B N 6 W 6 s X 9 V Y e t x h 0 p D O y d 1 W b S W / s I R x U q 0 f 9 l s 6 v s W o / 9 y S P T c j g j R U c 7 0 O J X d a B 1 X L B O s P p W H y N Q Q x u M 2 2 o p L j M Q y r l e 1 o G Q m x R O u a t a Q A A A A N B H y E v I c z S r f z + r P A i L a P 2 L 3 J 9 K M J L t 8 4 9 W + h 3 P W e 9 B P s f 6 V P Z y K Q 7 Q C h d b 3 9 s m I B l d a J A u b u b S 1 N T S n q x d o + g = < / D a t a M a s h u p > 
</file>

<file path=customXml/itemProps1.xml><?xml version="1.0" encoding="utf-8"?>
<ds:datastoreItem xmlns:ds="http://schemas.openxmlformats.org/officeDocument/2006/customXml" ds:itemID="{0F1B12E7-B0EA-4148-9DE2-064073097FF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Docházka</vt:lpstr>
      <vt:lpstr>Kalendář 2020</vt:lpstr>
      <vt:lpstr>Data</vt:lpstr>
      <vt:lpstr>Data1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VirusPK</dc:creator>
  <cp:lastModifiedBy>Petr Kulczycki</cp:lastModifiedBy>
  <dcterms:created xsi:type="dcterms:W3CDTF">2017-01-05T23:17:20Z</dcterms:created>
  <dcterms:modified xsi:type="dcterms:W3CDTF">2020-07-01T17:14:59Z</dcterms:modified>
</cp:coreProperties>
</file>